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15 mart\"/>
    </mc:Choice>
  </mc:AlternateContent>
  <xr:revisionPtr revIDLastSave="0" documentId="13_ncr:1_{BD77AF0C-2F35-47F7-AF51-3F7A9FED14CD}" xr6:coauthVersionLast="46" xr6:coauthVersionMax="46" xr10:uidLastSave="{00000000-0000-0000-0000-000000000000}"/>
  <bookViews>
    <workbookView xWindow="-120" yWindow="-120" windowWidth="20730" windowHeight="11310" xr2:uid="{4A1291A8-D139-44F9-8FCC-DF8BFE684FDB}"/>
  </bookViews>
  <sheets>
    <sheet name="Sayfa1" sheetId="1" r:id="rId1"/>
    <sheet name="ölçme sistemleri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0" hidden="1">Sayfa1!$A$1:$CZ$346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261" i="1" l="1"/>
  <c r="BB261" i="1"/>
  <c r="AZ261" i="1"/>
  <c r="AX261" i="1"/>
  <c r="AW261" i="1"/>
  <c r="AV261" i="1"/>
  <c r="AS261" i="1"/>
  <c r="AM261" i="1"/>
  <c r="AO261" i="1" s="1"/>
  <c r="AL261" i="1"/>
  <c r="AJ261" i="1"/>
  <c r="AA261" i="1"/>
  <c r="Z261" i="1"/>
  <c r="Y261" i="1"/>
  <c r="P261" i="1"/>
  <c r="AQ261" i="1" s="1"/>
  <c r="O261" i="1"/>
  <c r="AC261" i="1" s="1"/>
  <c r="F261" i="1"/>
  <c r="BT260" i="1"/>
  <c r="BB260" i="1"/>
  <c r="AZ260" i="1"/>
  <c r="AX260" i="1"/>
  <c r="AW260" i="1"/>
  <c r="AV260" i="1"/>
  <c r="AS260" i="1"/>
  <c r="AM260" i="1"/>
  <c r="AO260" i="1" s="1"/>
  <c r="AL260" i="1"/>
  <c r="AJ260" i="1"/>
  <c r="AA260" i="1"/>
  <c r="Z260" i="1"/>
  <c r="Y260" i="1"/>
  <c r="P260" i="1"/>
  <c r="AQ260" i="1" s="1"/>
  <c r="O260" i="1"/>
  <c r="BF260" i="1" s="1"/>
  <c r="F260" i="1"/>
  <c r="BT259" i="1"/>
  <c r="BB259" i="1"/>
  <c r="AZ259" i="1"/>
  <c r="AX259" i="1"/>
  <c r="AW259" i="1"/>
  <c r="AV259" i="1"/>
  <c r="AS259" i="1"/>
  <c r="AM259" i="1"/>
  <c r="AO259" i="1" s="1"/>
  <c r="AL259" i="1"/>
  <c r="AJ259" i="1"/>
  <c r="AA259" i="1"/>
  <c r="Z259" i="1"/>
  <c r="Y259" i="1"/>
  <c r="P259" i="1"/>
  <c r="AQ259" i="1" s="1"/>
  <c r="O259" i="1"/>
  <c r="AC259" i="1" s="1"/>
  <c r="F259" i="1"/>
  <c r="AF261" i="1" l="1"/>
  <c r="AD261" i="1"/>
  <c r="AG261" i="1" s="1"/>
  <c r="BC261" i="1"/>
  <c r="AD259" i="1"/>
  <c r="AG259" i="1" s="1"/>
  <c r="BA259" i="1"/>
  <c r="BA261" i="1"/>
  <c r="BC259" i="1"/>
  <c r="AC260" i="1"/>
  <c r="AF260" i="1" s="1"/>
  <c r="AF259" i="1"/>
  <c r="AD260" i="1"/>
  <c r="AG260" i="1" s="1"/>
  <c r="BD260" i="1"/>
  <c r="BG260" i="1" s="1"/>
  <c r="BH260" i="1" s="1"/>
  <c r="BJ260" i="1" s="1"/>
  <c r="BD259" i="1"/>
  <c r="BD261" i="1"/>
  <c r="BC260" i="1"/>
  <c r="BF259" i="1"/>
  <c r="AB260" i="1"/>
  <c r="AE260" i="1" s="1"/>
  <c r="BA260" i="1"/>
  <c r="BF261" i="1"/>
  <c r="AB259" i="1"/>
  <c r="AE259" i="1" s="1"/>
  <c r="AB261" i="1"/>
  <c r="AE261" i="1" s="1"/>
  <c r="AY261" i="1" l="1"/>
  <c r="AR259" i="1"/>
  <c r="AT259" i="1" s="1"/>
  <c r="AU259" i="1" s="1"/>
  <c r="AK260" i="1"/>
  <c r="AR260" i="1"/>
  <c r="AT260" i="1" s="1"/>
  <c r="AU260" i="1" s="1"/>
  <c r="AH260" i="1"/>
  <c r="AY260" i="1"/>
  <c r="BI260" i="1"/>
  <c r="AR261" i="1"/>
  <c r="AT261" i="1" s="1"/>
  <c r="AU261" i="1" s="1"/>
  <c r="BG261" i="1"/>
  <c r="BH261" i="1" s="1"/>
  <c r="BG259" i="1"/>
  <c r="BH259" i="1" s="1"/>
  <c r="AY259" i="1"/>
  <c r="AH261" i="1"/>
  <c r="AK261" i="1"/>
  <c r="AK259" i="1"/>
  <c r="AH259" i="1"/>
  <c r="BI259" i="1" l="1"/>
  <c r="BJ259" i="1"/>
  <c r="BI261" i="1"/>
  <c r="BJ261" i="1"/>
  <c r="AL206" i="1" l="1"/>
  <c r="AL205" i="1"/>
  <c r="BT206" i="1"/>
  <c r="BB206" i="1"/>
  <c r="AZ206" i="1"/>
  <c r="AX206" i="1"/>
  <c r="AW206" i="1"/>
  <c r="AV206" i="1"/>
  <c r="AS206" i="1"/>
  <c r="AM206" i="1"/>
  <c r="AO206" i="1" s="1"/>
  <c r="AJ206" i="1"/>
  <c r="AA206" i="1"/>
  <c r="Z206" i="1"/>
  <c r="Y206" i="1"/>
  <c r="P206" i="1"/>
  <c r="AQ206" i="1" s="1"/>
  <c r="O206" i="1"/>
  <c r="BF206" i="1" s="1"/>
  <c r="F206" i="1"/>
  <c r="AB206" i="1" l="1"/>
  <c r="AE206" i="1" s="1"/>
  <c r="BC206" i="1"/>
  <c r="BA206" i="1"/>
  <c r="AC206" i="1"/>
  <c r="AF206" i="1" s="1"/>
  <c r="BD206" i="1"/>
  <c r="BG206" i="1" s="1"/>
  <c r="BH206" i="1" s="1"/>
  <c r="AD206" i="1"/>
  <c r="AG206" i="1" s="1"/>
  <c r="AY206" i="1" l="1"/>
  <c r="AR206" i="1"/>
  <c r="AT206" i="1" s="1"/>
  <c r="AU206" i="1" s="1"/>
  <c r="AK206" i="1"/>
  <c r="AH206" i="1"/>
  <c r="BJ206" i="1"/>
  <c r="BI206" i="1"/>
  <c r="BT325" i="1" l="1"/>
  <c r="BB325" i="1"/>
  <c r="AZ325" i="1"/>
  <c r="AX325" i="1"/>
  <c r="AW325" i="1"/>
  <c r="AV325" i="1"/>
  <c r="AS325" i="1"/>
  <c r="AM325" i="1"/>
  <c r="AO325" i="1" s="1"/>
  <c r="AL325" i="1"/>
  <c r="AJ325" i="1"/>
  <c r="AA325" i="1"/>
  <c r="Z325" i="1"/>
  <c r="Y325" i="1"/>
  <c r="P325" i="1"/>
  <c r="AQ325" i="1" s="1"/>
  <c r="O325" i="1"/>
  <c r="BF325" i="1" s="1"/>
  <c r="F325" i="1"/>
  <c r="BT324" i="1"/>
  <c r="BB324" i="1"/>
  <c r="AZ324" i="1"/>
  <c r="AX324" i="1"/>
  <c r="AW324" i="1"/>
  <c r="AV324" i="1"/>
  <c r="AS324" i="1"/>
  <c r="AM324" i="1"/>
  <c r="AO324" i="1" s="1"/>
  <c r="AL324" i="1"/>
  <c r="AJ324" i="1"/>
  <c r="AA324" i="1"/>
  <c r="Z324" i="1"/>
  <c r="Y324" i="1"/>
  <c r="P324" i="1"/>
  <c r="AQ324" i="1" s="1"/>
  <c r="O324" i="1"/>
  <c r="AC324" i="1" s="1"/>
  <c r="F324" i="1"/>
  <c r="BA325" i="1" l="1"/>
  <c r="AB325" i="1"/>
  <c r="AE325" i="1" s="1"/>
  <c r="AB324" i="1"/>
  <c r="AE324" i="1" s="1"/>
  <c r="BC324" i="1"/>
  <c r="BF324" i="1"/>
  <c r="AD324" i="1"/>
  <c r="AG324" i="1" s="1"/>
  <c r="BA324" i="1"/>
  <c r="BD325" i="1"/>
  <c r="BG325" i="1" s="1"/>
  <c r="BH325" i="1" s="1"/>
  <c r="BD324" i="1"/>
  <c r="BC325" i="1"/>
  <c r="AF324" i="1"/>
  <c r="AC325" i="1"/>
  <c r="AF325" i="1" s="1"/>
  <c r="AD325" i="1"/>
  <c r="AY324" i="1" l="1"/>
  <c r="BG324" i="1"/>
  <c r="BH324" i="1" s="1"/>
  <c r="BI324" i="1" s="1"/>
  <c r="BJ325" i="1"/>
  <c r="BI325" i="1"/>
  <c r="AY325" i="1"/>
  <c r="AH324" i="1"/>
  <c r="AK324" i="1"/>
  <c r="AR324" i="1"/>
  <c r="AT324" i="1" s="1"/>
  <c r="AU324" i="1" s="1"/>
  <c r="AG325" i="1"/>
  <c r="AH325" i="1" s="1"/>
  <c r="BJ324" i="1" l="1"/>
  <c r="AR325" i="1"/>
  <c r="AT325" i="1" s="1"/>
  <c r="AU325" i="1" s="1"/>
  <c r="AK325" i="1"/>
  <c r="BT81" i="1" l="1"/>
  <c r="BB81" i="1"/>
  <c r="AZ81" i="1"/>
  <c r="AX81" i="1"/>
  <c r="AW81" i="1"/>
  <c r="AV81" i="1"/>
  <c r="AS81" i="1"/>
  <c r="AM81" i="1"/>
  <c r="AO81" i="1" s="1"/>
  <c r="AL81" i="1"/>
  <c r="AJ81" i="1"/>
  <c r="AA81" i="1"/>
  <c r="Z81" i="1"/>
  <c r="Y81" i="1"/>
  <c r="P81" i="1"/>
  <c r="AQ81" i="1" s="1"/>
  <c r="O81" i="1"/>
  <c r="BF81" i="1" s="1"/>
  <c r="F81" i="1"/>
  <c r="BT79" i="1"/>
  <c r="BB79" i="1"/>
  <c r="AZ79" i="1"/>
  <c r="AX79" i="1"/>
  <c r="AW79" i="1"/>
  <c r="AV79" i="1"/>
  <c r="AS79" i="1"/>
  <c r="AM79" i="1"/>
  <c r="AO79" i="1" s="1"/>
  <c r="AL79" i="1"/>
  <c r="AJ79" i="1"/>
  <c r="AA79" i="1"/>
  <c r="Z79" i="1"/>
  <c r="Y79" i="1"/>
  <c r="P79" i="1"/>
  <c r="AQ79" i="1" s="1"/>
  <c r="O79" i="1"/>
  <c r="AC79" i="1" s="1"/>
  <c r="F79" i="1"/>
  <c r="BT53" i="1"/>
  <c r="BB53" i="1"/>
  <c r="AZ53" i="1"/>
  <c r="AX53" i="1"/>
  <c r="AW53" i="1"/>
  <c r="AV53" i="1"/>
  <c r="AS53" i="1"/>
  <c r="AM53" i="1"/>
  <c r="AO53" i="1" s="1"/>
  <c r="AL53" i="1"/>
  <c r="AJ53" i="1"/>
  <c r="AA53" i="1"/>
  <c r="Z53" i="1"/>
  <c r="Y53" i="1"/>
  <c r="P53" i="1"/>
  <c r="AQ53" i="1" s="1"/>
  <c r="O53" i="1"/>
  <c r="BF53" i="1" s="1"/>
  <c r="F53" i="1"/>
  <c r="BT11" i="1"/>
  <c r="BB11" i="1"/>
  <c r="AZ11" i="1"/>
  <c r="AX11" i="1"/>
  <c r="AW11" i="1"/>
  <c r="AV11" i="1"/>
  <c r="AS11" i="1"/>
  <c r="AM11" i="1"/>
  <c r="AO11" i="1" s="1"/>
  <c r="AL11" i="1"/>
  <c r="AJ11" i="1"/>
  <c r="AA11" i="1"/>
  <c r="Z11" i="1"/>
  <c r="Y11" i="1"/>
  <c r="P11" i="1"/>
  <c r="AQ11" i="1" s="1"/>
  <c r="O11" i="1"/>
  <c r="BF11" i="1" s="1"/>
  <c r="F11" i="1"/>
  <c r="BT9" i="1"/>
  <c r="BB9" i="1"/>
  <c r="AZ9" i="1"/>
  <c r="AX9" i="1"/>
  <c r="AW9" i="1"/>
  <c r="AV9" i="1"/>
  <c r="AS9" i="1"/>
  <c r="AM9" i="1"/>
  <c r="AO9" i="1" s="1"/>
  <c r="AL9" i="1"/>
  <c r="AJ9" i="1"/>
  <c r="AA9" i="1"/>
  <c r="Z9" i="1"/>
  <c r="Y9" i="1"/>
  <c r="P9" i="1"/>
  <c r="AQ9" i="1" s="1"/>
  <c r="O9" i="1"/>
  <c r="AC9" i="1" s="1"/>
  <c r="F9" i="1"/>
  <c r="BB338" i="1"/>
  <c r="AZ338" i="1"/>
  <c r="AX338" i="1"/>
  <c r="AW338" i="1"/>
  <c r="AV338" i="1"/>
  <c r="AS338" i="1"/>
  <c r="AM338" i="1"/>
  <c r="AO338" i="1" s="1"/>
  <c r="AL338" i="1"/>
  <c r="AJ338" i="1"/>
  <c r="AA338" i="1"/>
  <c r="Z338" i="1"/>
  <c r="Y338" i="1"/>
  <c r="P338" i="1"/>
  <c r="AQ338" i="1" s="1"/>
  <c r="O338" i="1"/>
  <c r="BF338" i="1" s="1"/>
  <c r="F338" i="1"/>
  <c r="BB339" i="1"/>
  <c r="AZ339" i="1"/>
  <c r="AX339" i="1"/>
  <c r="AW339" i="1"/>
  <c r="AV339" i="1"/>
  <c r="AS339" i="1"/>
  <c r="AM339" i="1"/>
  <c r="AO339" i="1" s="1"/>
  <c r="AL339" i="1"/>
  <c r="AJ339" i="1"/>
  <c r="AA339" i="1"/>
  <c r="Z339" i="1"/>
  <c r="Y339" i="1"/>
  <c r="P339" i="1"/>
  <c r="AQ339" i="1" s="1"/>
  <c r="O339" i="1"/>
  <c r="BF339" i="1" s="1"/>
  <c r="F339" i="1"/>
  <c r="BT109" i="1"/>
  <c r="BB109" i="1"/>
  <c r="AZ109" i="1"/>
  <c r="AX109" i="1"/>
  <c r="AW109" i="1"/>
  <c r="AV109" i="1"/>
  <c r="AS109" i="1"/>
  <c r="AM109" i="1"/>
  <c r="AO109" i="1" s="1"/>
  <c r="AL109" i="1"/>
  <c r="AJ109" i="1"/>
  <c r="AA109" i="1"/>
  <c r="Z109" i="1"/>
  <c r="Y109" i="1"/>
  <c r="P109" i="1"/>
  <c r="AQ109" i="1" s="1"/>
  <c r="O109" i="1"/>
  <c r="BF109" i="1" s="1"/>
  <c r="F109" i="1"/>
  <c r="BT108" i="1"/>
  <c r="BB108" i="1"/>
  <c r="AZ108" i="1"/>
  <c r="AX108" i="1"/>
  <c r="AW108" i="1"/>
  <c r="AV108" i="1"/>
  <c r="AS108" i="1"/>
  <c r="AM108" i="1"/>
  <c r="AO108" i="1" s="1"/>
  <c r="AL108" i="1"/>
  <c r="AJ108" i="1"/>
  <c r="AA108" i="1"/>
  <c r="Z108" i="1"/>
  <c r="Y108" i="1"/>
  <c r="P108" i="1"/>
  <c r="AQ108" i="1" s="1"/>
  <c r="O108" i="1"/>
  <c r="AC108" i="1" s="1"/>
  <c r="F108" i="1"/>
  <c r="F123" i="1"/>
  <c r="BB123" i="1"/>
  <c r="AZ123" i="1"/>
  <c r="AX123" i="1"/>
  <c r="AW123" i="1"/>
  <c r="AV123" i="1"/>
  <c r="AS123" i="1"/>
  <c r="AM123" i="1"/>
  <c r="AO123" i="1" s="1"/>
  <c r="AL123" i="1"/>
  <c r="AJ123" i="1"/>
  <c r="AA123" i="1"/>
  <c r="Z123" i="1"/>
  <c r="Y123" i="1"/>
  <c r="P123" i="1"/>
  <c r="AQ123" i="1" s="1"/>
  <c r="O123" i="1"/>
  <c r="BF123" i="1" s="1"/>
  <c r="BC81" i="1" l="1"/>
  <c r="AC81" i="1"/>
  <c r="AF81" i="1" s="1"/>
  <c r="BA81" i="1"/>
  <c r="AD79" i="1"/>
  <c r="AG79" i="1" s="1"/>
  <c r="BA79" i="1"/>
  <c r="BC79" i="1"/>
  <c r="AF79" i="1"/>
  <c r="BD79" i="1"/>
  <c r="BC53" i="1"/>
  <c r="BD81" i="1"/>
  <c r="BG81" i="1" s="1"/>
  <c r="BH81" i="1" s="1"/>
  <c r="BJ81" i="1" s="1"/>
  <c r="BF79" i="1"/>
  <c r="AB81" i="1"/>
  <c r="AE81" i="1" s="1"/>
  <c r="AB79" i="1"/>
  <c r="AE79" i="1" s="1"/>
  <c r="AD81" i="1"/>
  <c r="AC53" i="1"/>
  <c r="AF53" i="1" s="1"/>
  <c r="BA53" i="1"/>
  <c r="BD53" i="1"/>
  <c r="BG53" i="1" s="1"/>
  <c r="BH53" i="1" s="1"/>
  <c r="AB53" i="1"/>
  <c r="AE53" i="1" s="1"/>
  <c r="AD53" i="1"/>
  <c r="AB11" i="1"/>
  <c r="AE11" i="1" s="1"/>
  <c r="AC11" i="1"/>
  <c r="AF11" i="1" s="1"/>
  <c r="BA11" i="1"/>
  <c r="BA9" i="1"/>
  <c r="BF9" i="1"/>
  <c r="AD9" i="1"/>
  <c r="AG9" i="1" s="1"/>
  <c r="BD9" i="1"/>
  <c r="AD11" i="1"/>
  <c r="AG11" i="1" s="1"/>
  <c r="BD11" i="1"/>
  <c r="BG11" i="1" s="1"/>
  <c r="BH11" i="1" s="1"/>
  <c r="BC11" i="1"/>
  <c r="AF9" i="1"/>
  <c r="BC9" i="1"/>
  <c r="AB9" i="1"/>
  <c r="AE9" i="1" s="1"/>
  <c r="BA108" i="1"/>
  <c r="BA109" i="1"/>
  <c r="BA338" i="1"/>
  <c r="BC338" i="1"/>
  <c r="BD338" i="1"/>
  <c r="BG338" i="1" s="1"/>
  <c r="BH338" i="1" s="1"/>
  <c r="AF108" i="1"/>
  <c r="BC109" i="1"/>
  <c r="BA339" i="1"/>
  <c r="AB338" i="1"/>
  <c r="AE338" i="1" s="1"/>
  <c r="BD339" i="1"/>
  <c r="BG339" i="1" s="1"/>
  <c r="BH339" i="1" s="1"/>
  <c r="BC339" i="1"/>
  <c r="AC338" i="1"/>
  <c r="AF338" i="1" s="1"/>
  <c r="BD108" i="1"/>
  <c r="AD338" i="1"/>
  <c r="AG338" i="1" s="1"/>
  <c r="AB339" i="1"/>
  <c r="AE339" i="1" s="1"/>
  <c r="AC339" i="1"/>
  <c r="AF339" i="1" s="1"/>
  <c r="AD339" i="1"/>
  <c r="AG339" i="1" s="1"/>
  <c r="BC108" i="1"/>
  <c r="BF108" i="1"/>
  <c r="AB109" i="1"/>
  <c r="AE109" i="1" s="1"/>
  <c r="BD109" i="1"/>
  <c r="BG109" i="1" s="1"/>
  <c r="BH109" i="1" s="1"/>
  <c r="AD108" i="1"/>
  <c r="AG108" i="1" s="1"/>
  <c r="AC109" i="1"/>
  <c r="AF109" i="1" s="1"/>
  <c r="AB108" i="1"/>
  <c r="AE108" i="1" s="1"/>
  <c r="AD109" i="1"/>
  <c r="BD123" i="1"/>
  <c r="BG123" i="1" s="1"/>
  <c r="BH123" i="1" s="1"/>
  <c r="BA123" i="1"/>
  <c r="BC123" i="1"/>
  <c r="AB123" i="1"/>
  <c r="AE123" i="1" s="1"/>
  <c r="AC123" i="1"/>
  <c r="AF123" i="1" s="1"/>
  <c r="AD123" i="1"/>
  <c r="AY79" i="1" l="1"/>
  <c r="BG79" i="1"/>
  <c r="BH79" i="1" s="1"/>
  <c r="BJ79" i="1" s="1"/>
  <c r="BI81" i="1"/>
  <c r="AG81" i="1"/>
  <c r="AY81" i="1"/>
  <c r="AH79" i="1"/>
  <c r="AK79" i="1"/>
  <c r="AR79" i="1"/>
  <c r="AT79" i="1" s="1"/>
  <c r="AU79" i="1" s="1"/>
  <c r="BJ53" i="1"/>
  <c r="BI53" i="1"/>
  <c r="AG53" i="1"/>
  <c r="AY53" i="1"/>
  <c r="AK11" i="1"/>
  <c r="AH11" i="1"/>
  <c r="AR11" i="1"/>
  <c r="AT11" i="1" s="1"/>
  <c r="AU11" i="1" s="1"/>
  <c r="AY11" i="1"/>
  <c r="BG9" i="1"/>
  <c r="BH9" i="1" s="1"/>
  <c r="AH9" i="1"/>
  <c r="AK9" i="1"/>
  <c r="BI11" i="1"/>
  <c r="BJ11" i="1"/>
  <c r="AY9" i="1"/>
  <c r="AR9" i="1"/>
  <c r="AT9" i="1" s="1"/>
  <c r="AU9" i="1" s="1"/>
  <c r="AY108" i="1"/>
  <c r="BG108" i="1"/>
  <c r="BH108" i="1" s="1"/>
  <c r="BI108" i="1" s="1"/>
  <c r="BJ338" i="1"/>
  <c r="BI338" i="1"/>
  <c r="BJ339" i="1"/>
  <c r="BI339" i="1"/>
  <c r="AR338" i="1"/>
  <c r="AT338" i="1" s="1"/>
  <c r="AU338" i="1" s="1"/>
  <c r="AY339" i="1"/>
  <c r="AY338" i="1"/>
  <c r="AH338" i="1"/>
  <c r="AK338" i="1"/>
  <c r="AH339" i="1"/>
  <c r="AK339" i="1"/>
  <c r="AR339" i="1"/>
  <c r="AT339" i="1" s="1"/>
  <c r="AU339" i="1" s="1"/>
  <c r="AR108" i="1"/>
  <c r="AT108" i="1" s="1"/>
  <c r="AU108" i="1" s="1"/>
  <c r="BJ109" i="1"/>
  <c r="BI109" i="1"/>
  <c r="AG109" i="1"/>
  <c r="AY109" i="1"/>
  <c r="AK108" i="1"/>
  <c r="AH108" i="1"/>
  <c r="BJ123" i="1"/>
  <c r="BI123" i="1"/>
  <c r="AY123" i="1"/>
  <c r="AG123" i="1"/>
  <c r="AH123" i="1" s="1"/>
  <c r="BI79" i="1" l="1"/>
  <c r="AK81" i="1"/>
  <c r="AH81" i="1"/>
  <c r="AR81" i="1"/>
  <c r="AT81" i="1" s="1"/>
  <c r="AU81" i="1" s="1"/>
  <c r="AK53" i="1"/>
  <c r="AR53" i="1"/>
  <c r="AT53" i="1" s="1"/>
  <c r="AU53" i="1" s="1"/>
  <c r="AH53" i="1"/>
  <c r="BI9" i="1"/>
  <c r="BJ9" i="1"/>
  <c r="BJ108" i="1"/>
  <c r="AH109" i="1"/>
  <c r="AK109" i="1"/>
  <c r="AR109" i="1"/>
  <c r="AT109" i="1" s="1"/>
  <c r="AU109" i="1" s="1"/>
  <c r="AR123" i="1"/>
  <c r="AT123" i="1" s="1"/>
  <c r="AU123" i="1" s="1"/>
  <c r="AK123" i="1"/>
  <c r="BT255" i="1" l="1"/>
  <c r="BB255" i="1"/>
  <c r="AZ255" i="1"/>
  <c r="AX255" i="1"/>
  <c r="AW255" i="1"/>
  <c r="AV255" i="1"/>
  <c r="AS255" i="1"/>
  <c r="AM255" i="1"/>
  <c r="AO255" i="1" s="1"/>
  <c r="AL255" i="1"/>
  <c r="AJ255" i="1"/>
  <c r="AA255" i="1"/>
  <c r="Z255" i="1"/>
  <c r="Y255" i="1"/>
  <c r="P255" i="1"/>
  <c r="AQ255" i="1" s="1"/>
  <c r="O255" i="1"/>
  <c r="AC255" i="1" s="1"/>
  <c r="F255" i="1"/>
  <c r="BT214" i="1"/>
  <c r="BB214" i="1"/>
  <c r="AZ214" i="1"/>
  <c r="AX214" i="1"/>
  <c r="AW214" i="1"/>
  <c r="AV214" i="1"/>
  <c r="AS214" i="1"/>
  <c r="AM214" i="1"/>
  <c r="AO214" i="1" s="1"/>
  <c r="AL214" i="1"/>
  <c r="AJ214" i="1"/>
  <c r="AA214" i="1"/>
  <c r="Z214" i="1"/>
  <c r="Y214" i="1"/>
  <c r="P214" i="1"/>
  <c r="AQ214" i="1" s="1"/>
  <c r="O214" i="1"/>
  <c r="AC214" i="1" s="1"/>
  <c r="F214" i="1"/>
  <c r="BT254" i="1"/>
  <c r="BB254" i="1"/>
  <c r="AZ254" i="1"/>
  <c r="AX254" i="1"/>
  <c r="AW254" i="1"/>
  <c r="AV254" i="1"/>
  <c r="AS254" i="1"/>
  <c r="AM254" i="1"/>
  <c r="AO254" i="1" s="1"/>
  <c r="AL254" i="1"/>
  <c r="AJ254" i="1"/>
  <c r="AA254" i="1"/>
  <c r="Z254" i="1"/>
  <c r="Y254" i="1"/>
  <c r="P254" i="1"/>
  <c r="AQ254" i="1" s="1"/>
  <c r="O254" i="1"/>
  <c r="BF254" i="1" s="1"/>
  <c r="F254" i="1"/>
  <c r="BT213" i="1"/>
  <c r="BB213" i="1"/>
  <c r="AZ213" i="1"/>
  <c r="AX213" i="1"/>
  <c r="AW213" i="1"/>
  <c r="AV213" i="1"/>
  <c r="AS213" i="1"/>
  <c r="AM213" i="1"/>
  <c r="AO213" i="1" s="1"/>
  <c r="AL213" i="1"/>
  <c r="AJ213" i="1"/>
  <c r="AA213" i="1"/>
  <c r="Z213" i="1"/>
  <c r="Y213" i="1"/>
  <c r="P213" i="1"/>
  <c r="AQ213" i="1" s="1"/>
  <c r="O213" i="1"/>
  <c r="AC213" i="1" s="1"/>
  <c r="F213" i="1"/>
  <c r="BT281" i="1"/>
  <c r="BB281" i="1"/>
  <c r="AZ281" i="1"/>
  <c r="AX281" i="1"/>
  <c r="AW281" i="1"/>
  <c r="AV281" i="1"/>
  <c r="AS281" i="1"/>
  <c r="AM281" i="1"/>
  <c r="AO281" i="1" s="1"/>
  <c r="AL281" i="1"/>
  <c r="AJ281" i="1"/>
  <c r="AA281" i="1"/>
  <c r="Z281" i="1"/>
  <c r="Y281" i="1"/>
  <c r="P281" i="1"/>
  <c r="AQ281" i="1" s="1"/>
  <c r="O281" i="1"/>
  <c r="BF281" i="1" s="1"/>
  <c r="F281" i="1"/>
  <c r="BT152" i="1"/>
  <c r="BB152" i="1"/>
  <c r="AZ152" i="1"/>
  <c r="AX152" i="1"/>
  <c r="AW152" i="1"/>
  <c r="AV152" i="1"/>
  <c r="AS152" i="1"/>
  <c r="AM152" i="1"/>
  <c r="AO152" i="1" s="1"/>
  <c r="AL152" i="1"/>
  <c r="AJ152" i="1"/>
  <c r="AA152" i="1"/>
  <c r="Z152" i="1"/>
  <c r="Y152" i="1"/>
  <c r="P152" i="1"/>
  <c r="AQ152" i="1" s="1"/>
  <c r="O152" i="1"/>
  <c r="BF152" i="1" s="1"/>
  <c r="F152" i="1"/>
  <c r="BT149" i="1"/>
  <c r="BB149" i="1"/>
  <c r="AZ149" i="1"/>
  <c r="AX149" i="1"/>
  <c r="AW149" i="1"/>
  <c r="AV149" i="1"/>
  <c r="AS149" i="1"/>
  <c r="AM149" i="1"/>
  <c r="AO149" i="1" s="1"/>
  <c r="AL149" i="1"/>
  <c r="AJ149" i="1"/>
  <c r="AA149" i="1"/>
  <c r="Z149" i="1"/>
  <c r="Y149" i="1"/>
  <c r="P149" i="1"/>
  <c r="AQ149" i="1" s="1"/>
  <c r="O149" i="1"/>
  <c r="AC149" i="1" s="1"/>
  <c r="F149" i="1"/>
  <c r="BA214" i="1" l="1"/>
  <c r="BD214" i="1"/>
  <c r="BA255" i="1"/>
  <c r="BD255" i="1"/>
  <c r="BC254" i="1"/>
  <c r="BA213" i="1"/>
  <c r="AF255" i="1"/>
  <c r="AD213" i="1"/>
  <c r="AG213" i="1" s="1"/>
  <c r="BC213" i="1"/>
  <c r="AB214" i="1"/>
  <c r="AE214" i="1" s="1"/>
  <c r="BC214" i="1"/>
  <c r="BF214" i="1"/>
  <c r="AB255" i="1"/>
  <c r="AE255" i="1" s="1"/>
  <c r="BC255" i="1"/>
  <c r="BF255" i="1"/>
  <c r="AF214" i="1"/>
  <c r="AF213" i="1"/>
  <c r="AD214" i="1"/>
  <c r="AD255" i="1"/>
  <c r="AC254" i="1"/>
  <c r="AF254" i="1" s="1"/>
  <c r="BD213" i="1"/>
  <c r="BA254" i="1"/>
  <c r="BD254" i="1"/>
  <c r="BG254" i="1" s="1"/>
  <c r="BH254" i="1" s="1"/>
  <c r="BF213" i="1"/>
  <c r="AB254" i="1"/>
  <c r="AE254" i="1" s="1"/>
  <c r="AB213" i="1"/>
  <c r="AE213" i="1" s="1"/>
  <c r="AD254" i="1"/>
  <c r="BC281" i="1"/>
  <c r="BA281" i="1"/>
  <c r="AB281" i="1"/>
  <c r="AE281" i="1" s="1"/>
  <c r="AC281" i="1"/>
  <c r="AF281" i="1" s="1"/>
  <c r="BD281" i="1"/>
  <c r="BG281" i="1" s="1"/>
  <c r="BH281" i="1" s="1"/>
  <c r="AD281" i="1"/>
  <c r="AG281" i="1" s="1"/>
  <c r="BC152" i="1"/>
  <c r="BA149" i="1"/>
  <c r="AB149" i="1"/>
  <c r="AE149" i="1" s="1"/>
  <c r="BC149" i="1"/>
  <c r="BF149" i="1"/>
  <c r="AB152" i="1"/>
  <c r="AE152" i="1" s="1"/>
  <c r="AD149" i="1"/>
  <c r="AG149" i="1" s="1"/>
  <c r="BD152" i="1"/>
  <c r="BG152" i="1" s="1"/>
  <c r="BH152" i="1" s="1"/>
  <c r="BD149" i="1"/>
  <c r="BA152" i="1"/>
  <c r="AF149" i="1"/>
  <c r="AC152" i="1"/>
  <c r="AF152" i="1" s="1"/>
  <c r="AD152" i="1"/>
  <c r="BG214" i="1" l="1"/>
  <c r="BH214" i="1" s="1"/>
  <c r="BJ214" i="1" s="1"/>
  <c r="AY214" i="1"/>
  <c r="BG255" i="1"/>
  <c r="BH255" i="1" s="1"/>
  <c r="BJ255" i="1" s="1"/>
  <c r="AY213" i="1"/>
  <c r="AY255" i="1"/>
  <c r="AG214" i="1"/>
  <c r="AH214" i="1" s="1"/>
  <c r="AG255" i="1"/>
  <c r="BI254" i="1"/>
  <c r="BJ254" i="1"/>
  <c r="BG213" i="1"/>
  <c r="BH213" i="1" s="1"/>
  <c r="AG254" i="1"/>
  <c r="AY254" i="1"/>
  <c r="AK213" i="1"/>
  <c r="AH213" i="1"/>
  <c r="AR213" i="1"/>
  <c r="AT213" i="1" s="1"/>
  <c r="AU213" i="1" s="1"/>
  <c r="AH281" i="1"/>
  <c r="AK281" i="1"/>
  <c r="AR281" i="1"/>
  <c r="AT281" i="1" s="1"/>
  <c r="AU281" i="1" s="1"/>
  <c r="BJ281" i="1"/>
  <c r="BI281" i="1"/>
  <c r="AY281" i="1"/>
  <c r="BJ152" i="1"/>
  <c r="BI152" i="1"/>
  <c r="AR149" i="1"/>
  <c r="AT149" i="1" s="1"/>
  <c r="AU149" i="1" s="1"/>
  <c r="AK149" i="1"/>
  <c r="BG149" i="1"/>
  <c r="BH149" i="1" s="1"/>
  <c r="AY152" i="1"/>
  <c r="AG152" i="1"/>
  <c r="AK152" i="1" s="1"/>
  <c r="AH149" i="1"/>
  <c r="AY149" i="1"/>
  <c r="BI214" i="1" l="1"/>
  <c r="BI255" i="1"/>
  <c r="AH255" i="1"/>
  <c r="AR255" i="1"/>
  <c r="AT255" i="1" s="1"/>
  <c r="AU255" i="1" s="1"/>
  <c r="AK255" i="1"/>
  <c r="AK214" i="1"/>
  <c r="AR214" i="1"/>
  <c r="AT214" i="1" s="1"/>
  <c r="AU214" i="1" s="1"/>
  <c r="BI213" i="1"/>
  <c r="BJ213" i="1"/>
  <c r="AR254" i="1"/>
  <c r="AT254" i="1" s="1"/>
  <c r="AU254" i="1" s="1"/>
  <c r="AH254" i="1"/>
  <c r="AK254" i="1"/>
  <c r="AR152" i="1"/>
  <c r="AT152" i="1" s="1"/>
  <c r="AU152" i="1" s="1"/>
  <c r="BJ149" i="1"/>
  <c r="BI149" i="1"/>
  <c r="AH152" i="1"/>
  <c r="BB228" i="1" l="1"/>
  <c r="BC228" i="1" s="1"/>
  <c r="AZ228" i="1"/>
  <c r="AX228" i="1"/>
  <c r="AW228" i="1"/>
  <c r="AV228" i="1"/>
  <c r="AR228" i="1"/>
  <c r="AP228" i="1"/>
  <c r="AL228" i="1"/>
  <c r="BA228" i="1" s="1"/>
  <c r="AK228" i="1"/>
  <c r="AJ228" i="1"/>
  <c r="AD228" i="1"/>
  <c r="AC228" i="1"/>
  <c r="AB228" i="1"/>
  <c r="AA228" i="1"/>
  <c r="Z228" i="1"/>
  <c r="Y228" i="1"/>
  <c r="P228" i="1"/>
  <c r="O228" i="1"/>
  <c r="BF228" i="1" s="1"/>
  <c r="BB226" i="1"/>
  <c r="BC226" i="1" s="1"/>
  <c r="AZ226" i="1"/>
  <c r="AX226" i="1"/>
  <c r="AW226" i="1"/>
  <c r="AV226" i="1"/>
  <c r="AR226" i="1"/>
  <c r="AP226" i="1"/>
  <c r="AL226" i="1"/>
  <c r="AN226" i="1" s="1"/>
  <c r="AK226" i="1"/>
  <c r="AJ226" i="1"/>
  <c r="AD226" i="1"/>
  <c r="AC226" i="1"/>
  <c r="AB226" i="1"/>
  <c r="AA226" i="1"/>
  <c r="Z226" i="1"/>
  <c r="Y226" i="1"/>
  <c r="AE226" i="1" s="1"/>
  <c r="AH226" i="1" s="1"/>
  <c r="P226" i="1"/>
  <c r="O226" i="1"/>
  <c r="BF226" i="1" s="1"/>
  <c r="BB229" i="1"/>
  <c r="BC229" i="1" s="1"/>
  <c r="AZ229" i="1"/>
  <c r="AX229" i="1"/>
  <c r="AW229" i="1"/>
  <c r="AV229" i="1"/>
  <c r="AR229" i="1"/>
  <c r="AP229" i="1"/>
  <c r="AL229" i="1"/>
  <c r="AN229" i="1" s="1"/>
  <c r="AK229" i="1"/>
  <c r="AJ229" i="1"/>
  <c r="AD229" i="1"/>
  <c r="AC229" i="1"/>
  <c r="AB229" i="1"/>
  <c r="AA229" i="1"/>
  <c r="Z229" i="1"/>
  <c r="Y229" i="1"/>
  <c r="P229" i="1"/>
  <c r="O229" i="1"/>
  <c r="BF229" i="1" s="1"/>
  <c r="BB227" i="1"/>
  <c r="BC227" i="1" s="1"/>
  <c r="AZ227" i="1"/>
  <c r="AX227" i="1"/>
  <c r="AW227" i="1"/>
  <c r="AV227" i="1"/>
  <c r="AR227" i="1"/>
  <c r="AP227" i="1"/>
  <c r="AL227" i="1"/>
  <c r="AN227" i="1" s="1"/>
  <c r="AK227" i="1"/>
  <c r="AJ227" i="1"/>
  <c r="AD227" i="1"/>
  <c r="AC227" i="1"/>
  <c r="AB227" i="1"/>
  <c r="AA227" i="1"/>
  <c r="Z227" i="1"/>
  <c r="Y227" i="1"/>
  <c r="AE227" i="1" s="1"/>
  <c r="AH227" i="1" s="1"/>
  <c r="P227" i="1"/>
  <c r="O227" i="1"/>
  <c r="BF227" i="1" s="1"/>
  <c r="BB224" i="1"/>
  <c r="BC224" i="1" s="1"/>
  <c r="AZ224" i="1"/>
  <c r="AX224" i="1"/>
  <c r="AW224" i="1"/>
  <c r="AV224" i="1"/>
  <c r="AR224" i="1"/>
  <c r="AP224" i="1"/>
  <c r="AL224" i="1"/>
  <c r="AN224" i="1" s="1"/>
  <c r="AK224" i="1"/>
  <c r="AJ224" i="1"/>
  <c r="AD224" i="1"/>
  <c r="AC224" i="1"/>
  <c r="AB224" i="1"/>
  <c r="AA224" i="1"/>
  <c r="Z224" i="1"/>
  <c r="Y224" i="1"/>
  <c r="P224" i="1"/>
  <c r="O224" i="1"/>
  <c r="BF224" i="1" s="1"/>
  <c r="AF228" i="1" l="1"/>
  <c r="AG228" i="1"/>
  <c r="AF226" i="1"/>
  <c r="AE224" i="1"/>
  <c r="AH224" i="1" s="1"/>
  <c r="AY226" i="1"/>
  <c r="AE229" i="1"/>
  <c r="AH229" i="1" s="1"/>
  <c r="AG226" i="1"/>
  <c r="AF229" i="1"/>
  <c r="BA226" i="1"/>
  <c r="AE228" i="1"/>
  <c r="AH228" i="1" s="1"/>
  <c r="BD228" i="1"/>
  <c r="BG228" i="1" s="1"/>
  <c r="BH228" i="1" s="1"/>
  <c r="AN228" i="1"/>
  <c r="BD226" i="1"/>
  <c r="BG226" i="1" s="1"/>
  <c r="BH226" i="1" s="1"/>
  <c r="AG229" i="1"/>
  <c r="BA229" i="1"/>
  <c r="AG227" i="1"/>
  <c r="BD224" i="1"/>
  <c r="BG224" i="1" s="1"/>
  <c r="BH224" i="1" s="1"/>
  <c r="BI224" i="1" s="1"/>
  <c r="BD227" i="1"/>
  <c r="BG227" i="1" s="1"/>
  <c r="BH227" i="1" s="1"/>
  <c r="BD229" i="1"/>
  <c r="BG229" i="1" s="1"/>
  <c r="BH229" i="1" s="1"/>
  <c r="AF224" i="1"/>
  <c r="AF227" i="1"/>
  <c r="AG224" i="1"/>
  <c r="AY227" i="1"/>
  <c r="BA224" i="1"/>
  <c r="BA227" i="1"/>
  <c r="AQ226" i="1" l="1"/>
  <c r="AT226" i="1" s="1"/>
  <c r="AU226" i="1" s="1"/>
  <c r="AQ229" i="1"/>
  <c r="AT229" i="1" s="1"/>
  <c r="AU229" i="1" s="1"/>
  <c r="AY229" i="1"/>
  <c r="AY224" i="1"/>
  <c r="AQ227" i="1"/>
  <c r="AT227" i="1" s="1"/>
  <c r="AU227" i="1" s="1"/>
  <c r="BJ228" i="1"/>
  <c r="BI228" i="1"/>
  <c r="AQ224" i="1"/>
  <c r="AT224" i="1" s="1"/>
  <c r="AU224" i="1" s="1"/>
  <c r="AY228" i="1"/>
  <c r="AQ228" i="1"/>
  <c r="AT228" i="1" s="1"/>
  <c r="AU228" i="1" s="1"/>
  <c r="BI226" i="1"/>
  <c r="BJ226" i="1"/>
  <c r="BJ229" i="1"/>
  <c r="BI229" i="1"/>
  <c r="BI227" i="1"/>
  <c r="BJ227" i="1"/>
  <c r="BJ224" i="1"/>
  <c r="AL200" i="1" l="1"/>
  <c r="BT151" i="1" l="1"/>
  <c r="BB151" i="1"/>
  <c r="AZ151" i="1"/>
  <c r="AX151" i="1"/>
  <c r="AW151" i="1"/>
  <c r="AV151" i="1"/>
  <c r="AS151" i="1"/>
  <c r="AM151" i="1"/>
  <c r="AO151" i="1" s="1"/>
  <c r="BC151" i="1" s="1"/>
  <c r="AL151" i="1"/>
  <c r="AJ151" i="1"/>
  <c r="AA151" i="1"/>
  <c r="Z151" i="1"/>
  <c r="Y151" i="1"/>
  <c r="P151" i="1"/>
  <c r="AQ151" i="1" s="1"/>
  <c r="O151" i="1"/>
  <c r="BF151" i="1" s="1"/>
  <c r="F151" i="1"/>
  <c r="BT150" i="1"/>
  <c r="BB150" i="1"/>
  <c r="AZ150" i="1"/>
  <c r="AX150" i="1"/>
  <c r="AW150" i="1"/>
  <c r="AV150" i="1"/>
  <c r="AS150" i="1"/>
  <c r="AM150" i="1"/>
  <c r="AO150" i="1" s="1"/>
  <c r="AL150" i="1"/>
  <c r="AJ150" i="1"/>
  <c r="AA150" i="1"/>
  <c r="Z150" i="1"/>
  <c r="Y150" i="1"/>
  <c r="P150" i="1"/>
  <c r="AQ150" i="1" s="1"/>
  <c r="O150" i="1"/>
  <c r="BF150" i="1" s="1"/>
  <c r="F150" i="1"/>
  <c r="AB151" i="1" l="1"/>
  <c r="AE151" i="1" s="1"/>
  <c r="AC151" i="1"/>
  <c r="AF151" i="1" s="1"/>
  <c r="BA151" i="1"/>
  <c r="BD151" i="1"/>
  <c r="BG151" i="1" s="1"/>
  <c r="BH151" i="1" s="1"/>
  <c r="BD150" i="1"/>
  <c r="BG150" i="1" s="1"/>
  <c r="BH150" i="1" s="1"/>
  <c r="BC150" i="1"/>
  <c r="AD151" i="1"/>
  <c r="AB150" i="1"/>
  <c r="AE150" i="1" s="1"/>
  <c r="BA150" i="1"/>
  <c r="AC150" i="1"/>
  <c r="AF150" i="1" s="1"/>
  <c r="AD150" i="1"/>
  <c r="AY150" i="1" l="1"/>
  <c r="BJ150" i="1"/>
  <c r="BI150" i="1"/>
  <c r="BJ151" i="1"/>
  <c r="BI151" i="1"/>
  <c r="AG151" i="1"/>
  <c r="AY151" i="1"/>
  <c r="AG150" i="1"/>
  <c r="AK150" i="1" s="1"/>
  <c r="AR151" i="1" l="1"/>
  <c r="AT151" i="1" s="1"/>
  <c r="AU151" i="1" s="1"/>
  <c r="AH151" i="1"/>
  <c r="AK151" i="1"/>
  <c r="AH150" i="1"/>
  <c r="AR150" i="1"/>
  <c r="AT150" i="1" s="1"/>
  <c r="AU150" i="1" s="1"/>
  <c r="AS64" i="1" l="1"/>
  <c r="AS62" i="1"/>
  <c r="AS61" i="1"/>
  <c r="AS60" i="1"/>
  <c r="AS58" i="1"/>
  <c r="AS55" i="1"/>
  <c r="AS52" i="1"/>
  <c r="AS51" i="1"/>
  <c r="AS67" i="1"/>
  <c r="AS63" i="1"/>
  <c r="P61" i="1"/>
  <c r="O61" i="1"/>
  <c r="BT31" i="1" l="1"/>
  <c r="BB31" i="1"/>
  <c r="AZ31" i="1"/>
  <c r="AX31" i="1"/>
  <c r="AW31" i="1"/>
  <c r="AV31" i="1"/>
  <c r="AS31" i="1"/>
  <c r="AM31" i="1"/>
  <c r="AO31" i="1" s="1"/>
  <c r="AL31" i="1"/>
  <c r="AJ31" i="1"/>
  <c r="AA31" i="1"/>
  <c r="Z31" i="1"/>
  <c r="Y31" i="1"/>
  <c r="P31" i="1"/>
  <c r="AQ31" i="1" s="1"/>
  <c r="O31" i="1"/>
  <c r="BF31" i="1" s="1"/>
  <c r="F31" i="1"/>
  <c r="BT30" i="1"/>
  <c r="BB30" i="1"/>
  <c r="AZ30" i="1"/>
  <c r="AX30" i="1"/>
  <c r="AW30" i="1"/>
  <c r="AV30" i="1"/>
  <c r="AS30" i="1"/>
  <c r="AM30" i="1"/>
  <c r="AO30" i="1" s="1"/>
  <c r="AL30" i="1"/>
  <c r="AJ30" i="1"/>
  <c r="AA30" i="1"/>
  <c r="Z30" i="1"/>
  <c r="Y30" i="1"/>
  <c r="P30" i="1"/>
  <c r="AQ30" i="1" s="1"/>
  <c r="O30" i="1"/>
  <c r="AC30" i="1" s="1"/>
  <c r="F30" i="1"/>
  <c r="F3" i="1"/>
  <c r="O3" i="1"/>
  <c r="P3" i="1"/>
  <c r="BB234" i="1"/>
  <c r="AZ234" i="1"/>
  <c r="AX234" i="1"/>
  <c r="AW234" i="1"/>
  <c r="AV234" i="1"/>
  <c r="AS234" i="1"/>
  <c r="AQ234" i="1"/>
  <c r="AM234" i="1"/>
  <c r="AO234" i="1" s="1"/>
  <c r="AL234" i="1"/>
  <c r="AJ234" i="1"/>
  <c r="AD234" i="1"/>
  <c r="AC234" i="1"/>
  <c r="AB234" i="1"/>
  <c r="AA234" i="1"/>
  <c r="Z234" i="1"/>
  <c r="Y234" i="1"/>
  <c r="AB31" i="1" l="1"/>
  <c r="AE31" i="1" s="1"/>
  <c r="AC31" i="1"/>
  <c r="AF31" i="1" s="1"/>
  <c r="BA31" i="1"/>
  <c r="BA30" i="1"/>
  <c r="AD30" i="1"/>
  <c r="AG30" i="1" s="1"/>
  <c r="BD30" i="1"/>
  <c r="AD31" i="1"/>
  <c r="AG31" i="1" s="1"/>
  <c r="BF30" i="1"/>
  <c r="BD31" i="1"/>
  <c r="BG31" i="1" s="1"/>
  <c r="BH31" i="1" s="1"/>
  <c r="BC31" i="1"/>
  <c r="AF30" i="1"/>
  <c r="BC30" i="1"/>
  <c r="AB30" i="1"/>
  <c r="AE30" i="1" s="1"/>
  <c r="AG234" i="1"/>
  <c r="BA234" i="1"/>
  <c r="BC234" i="1"/>
  <c r="AE234" i="1"/>
  <c r="AF234" i="1"/>
  <c r="BD234" i="1"/>
  <c r="BB335" i="1"/>
  <c r="AZ335" i="1"/>
  <c r="AX335" i="1"/>
  <c r="AW335" i="1"/>
  <c r="AV335" i="1"/>
  <c r="AS335" i="1"/>
  <c r="AM335" i="1"/>
  <c r="AO335" i="1" s="1"/>
  <c r="AL335" i="1"/>
  <c r="AJ335" i="1"/>
  <c r="AA335" i="1"/>
  <c r="Z335" i="1"/>
  <c r="Y335" i="1"/>
  <c r="P335" i="1"/>
  <c r="AQ335" i="1" s="1"/>
  <c r="O335" i="1"/>
  <c r="BF335" i="1" s="1"/>
  <c r="F335" i="1"/>
  <c r="BB334" i="1"/>
  <c r="AZ334" i="1"/>
  <c r="AX334" i="1"/>
  <c r="AW334" i="1"/>
  <c r="AV334" i="1"/>
  <c r="AS334" i="1"/>
  <c r="AM334" i="1"/>
  <c r="AO334" i="1" s="1"/>
  <c r="AL334" i="1"/>
  <c r="AJ334" i="1"/>
  <c r="AA334" i="1"/>
  <c r="Z334" i="1"/>
  <c r="Y334" i="1"/>
  <c r="P334" i="1"/>
  <c r="AQ334" i="1" s="1"/>
  <c r="O334" i="1"/>
  <c r="BF334" i="1" s="1"/>
  <c r="F334" i="1"/>
  <c r="AR31" i="1" l="1"/>
  <c r="AT31" i="1" s="1"/>
  <c r="AU31" i="1" s="1"/>
  <c r="BG30" i="1"/>
  <c r="BH30" i="1" s="1"/>
  <c r="BI30" i="1" s="1"/>
  <c r="AK31" i="1"/>
  <c r="AY31" i="1"/>
  <c r="AH31" i="1"/>
  <c r="AK30" i="1"/>
  <c r="AH30" i="1"/>
  <c r="BJ31" i="1"/>
  <c r="BI31" i="1"/>
  <c r="AY30" i="1"/>
  <c r="AR30" i="1"/>
  <c r="AT30" i="1" s="1"/>
  <c r="AU30" i="1" s="1"/>
  <c r="AY234" i="1"/>
  <c r="AR234" i="1"/>
  <c r="AT234" i="1" s="1"/>
  <c r="AU234" i="1" s="1"/>
  <c r="AH234" i="1"/>
  <c r="AK234" i="1"/>
  <c r="BC334" i="1"/>
  <c r="BA335" i="1"/>
  <c r="BA334" i="1"/>
  <c r="BD334" i="1"/>
  <c r="BG334" i="1" s="1"/>
  <c r="BH334" i="1" s="1"/>
  <c r="AB334" i="1"/>
  <c r="AE334" i="1" s="1"/>
  <c r="BD335" i="1"/>
  <c r="BG335" i="1" s="1"/>
  <c r="BH335" i="1" s="1"/>
  <c r="BC335" i="1"/>
  <c r="AC334" i="1"/>
  <c r="AF334" i="1" s="1"/>
  <c r="AB335" i="1"/>
  <c r="AE335" i="1" s="1"/>
  <c r="AD334" i="1"/>
  <c r="AC335" i="1"/>
  <c r="AF335" i="1" s="1"/>
  <c r="AD335" i="1"/>
  <c r="BJ30" i="1" l="1"/>
  <c r="AY334" i="1"/>
  <c r="BJ335" i="1"/>
  <c r="BI335" i="1"/>
  <c r="AY335" i="1"/>
  <c r="AG335" i="1"/>
  <c r="AK335" i="1" s="1"/>
  <c r="AG334" i="1"/>
  <c r="AR334" i="1" s="1"/>
  <c r="AT334" i="1" s="1"/>
  <c r="AU334" i="1" s="1"/>
  <c r="BJ334" i="1"/>
  <c r="BI334" i="1"/>
  <c r="AH335" i="1" l="1"/>
  <c r="AH334" i="1"/>
  <c r="AR335" i="1"/>
  <c r="AT335" i="1" s="1"/>
  <c r="AU335" i="1" s="1"/>
  <c r="AK334" i="1"/>
  <c r="BT295" i="1"/>
  <c r="BT297" i="1"/>
  <c r="BT298" i="1"/>
  <c r="BT301" i="1"/>
  <c r="BT302" i="1"/>
  <c r="BT303" i="1"/>
  <c r="BT305" i="1"/>
  <c r="BT294" i="1"/>
  <c r="BT296" i="1"/>
  <c r="BT299" i="1"/>
  <c r="BT300" i="1"/>
  <c r="BT304" i="1"/>
  <c r="BT306" i="1"/>
  <c r="BT307" i="1"/>
  <c r="BT309" i="1"/>
  <c r="BT311" i="1"/>
  <c r="BT313" i="1"/>
  <c r="BT314" i="1"/>
  <c r="BT316" i="1"/>
  <c r="BT318" i="1"/>
  <c r="BT319" i="1"/>
  <c r="BT320" i="1"/>
  <c r="BT308" i="1"/>
  <c r="BT310" i="1"/>
  <c r="BT312" i="1"/>
  <c r="BT315" i="1"/>
  <c r="BT317" i="1"/>
  <c r="BT321" i="1"/>
  <c r="BT322" i="1"/>
  <c r="BT323" i="1"/>
  <c r="BT326" i="1"/>
  <c r="BT327" i="1"/>
  <c r="BT328" i="1"/>
  <c r="BT329" i="1"/>
  <c r="BT330" i="1"/>
  <c r="BT331" i="1"/>
  <c r="BT293" i="1"/>
  <c r="BT129" i="1"/>
  <c r="BT130" i="1"/>
  <c r="BT131" i="1"/>
  <c r="BT132" i="1"/>
  <c r="BT133" i="1"/>
  <c r="BT134" i="1"/>
  <c r="BT128" i="1"/>
  <c r="BT10" i="1"/>
  <c r="BT12" i="1"/>
  <c r="BT16" i="1"/>
  <c r="BT19" i="1"/>
  <c r="BT20" i="1"/>
  <c r="BT26" i="1"/>
  <c r="BT27" i="1"/>
  <c r="BT4" i="1"/>
  <c r="BT5" i="1"/>
  <c r="BT6" i="1"/>
  <c r="BT7" i="1"/>
  <c r="BT13" i="1"/>
  <c r="BT15" i="1"/>
  <c r="BT21" i="1"/>
  <c r="BT24" i="1"/>
  <c r="BT3" i="1"/>
  <c r="BT8" i="1"/>
  <c r="BT14" i="1"/>
  <c r="BT17" i="1"/>
  <c r="BT18" i="1"/>
  <c r="BT22" i="1"/>
  <c r="BT23" i="1"/>
  <c r="BT25" i="1"/>
  <c r="BT28" i="1"/>
  <c r="BT29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332" i="1"/>
  <c r="BT333" i="1"/>
  <c r="BT54" i="1"/>
  <c r="BT56" i="1"/>
  <c r="BT57" i="1"/>
  <c r="BT59" i="1"/>
  <c r="BT63" i="1"/>
  <c r="BT65" i="1"/>
  <c r="BT66" i="1"/>
  <c r="BT67" i="1"/>
  <c r="BT51" i="1"/>
  <c r="BT52" i="1"/>
  <c r="BT55" i="1"/>
  <c r="BT58" i="1"/>
  <c r="BT60" i="1"/>
  <c r="BT61" i="1"/>
  <c r="BT62" i="1"/>
  <c r="BT64" i="1"/>
  <c r="BT68" i="1"/>
  <c r="BT69" i="1"/>
  <c r="BT70" i="1"/>
  <c r="BT71" i="1"/>
  <c r="BT72" i="1"/>
  <c r="BT73" i="1"/>
  <c r="BT74" i="1"/>
  <c r="BT75" i="1"/>
  <c r="BT76" i="1"/>
  <c r="BT77" i="1"/>
  <c r="BT80" i="1"/>
  <c r="BT83" i="1"/>
  <c r="BT85" i="1"/>
  <c r="BT89" i="1"/>
  <c r="BT93" i="1"/>
  <c r="BT103" i="1"/>
  <c r="BT105" i="1"/>
  <c r="BT78" i="1"/>
  <c r="BT82" i="1"/>
  <c r="BT84" i="1"/>
  <c r="BT86" i="1"/>
  <c r="BT87" i="1"/>
  <c r="BT88" i="1"/>
  <c r="BT91" i="1"/>
  <c r="BT98" i="1"/>
  <c r="BT99" i="1"/>
  <c r="BT102" i="1"/>
  <c r="BT104" i="1"/>
  <c r="BT90" i="1"/>
  <c r="BT92" i="1"/>
  <c r="BT94" i="1"/>
  <c r="BT95" i="1"/>
  <c r="BT96" i="1"/>
  <c r="BT97" i="1"/>
  <c r="BT100" i="1"/>
  <c r="BT101" i="1"/>
  <c r="BT106" i="1"/>
  <c r="BT107" i="1"/>
  <c r="BT113" i="1"/>
  <c r="BT117" i="1"/>
  <c r="BT118" i="1"/>
  <c r="BT119" i="1"/>
  <c r="BT122" i="1"/>
  <c r="BT123" i="1"/>
  <c r="BT110" i="1"/>
  <c r="BT115" i="1"/>
  <c r="BT120" i="1"/>
  <c r="BT121" i="1"/>
  <c r="BT125" i="1"/>
  <c r="BT126" i="1"/>
  <c r="BT111" i="1"/>
  <c r="BT112" i="1"/>
  <c r="BT114" i="1"/>
  <c r="BT116" i="1"/>
  <c r="BT124" i="1"/>
  <c r="BT127" i="1"/>
  <c r="BT135" i="1"/>
  <c r="BT136" i="1"/>
  <c r="BT137" i="1"/>
  <c r="BT138" i="1"/>
  <c r="BT139" i="1"/>
  <c r="BT140" i="1"/>
  <c r="BT141" i="1"/>
  <c r="BT143" i="1"/>
  <c r="BT148" i="1"/>
  <c r="BT157" i="1"/>
  <c r="BT158" i="1"/>
  <c r="BT164" i="1"/>
  <c r="BT168" i="1"/>
  <c r="BT169" i="1"/>
  <c r="BT142" i="1"/>
  <c r="BT144" i="1"/>
  <c r="BT145" i="1"/>
  <c r="BT147" i="1"/>
  <c r="BT155" i="1"/>
  <c r="BT156" i="1"/>
  <c r="BT160" i="1"/>
  <c r="BT162" i="1"/>
  <c r="BT166" i="1"/>
  <c r="BT146" i="1"/>
  <c r="BT153" i="1"/>
  <c r="BT154" i="1"/>
  <c r="BT159" i="1"/>
  <c r="BT161" i="1"/>
  <c r="BT163" i="1"/>
  <c r="BT165" i="1"/>
  <c r="BT167" i="1"/>
  <c r="BT170" i="1"/>
  <c r="BT177" i="1"/>
  <c r="BT178" i="1"/>
  <c r="BT180" i="1"/>
  <c r="BT181" i="1"/>
  <c r="BT182" i="1"/>
  <c r="BT183" i="1"/>
  <c r="BT171" i="1"/>
  <c r="BT172" i="1"/>
  <c r="BT173" i="1"/>
  <c r="BT174" i="1"/>
  <c r="BT175" i="1"/>
  <c r="BT176" i="1"/>
  <c r="BT179" i="1"/>
  <c r="BT184" i="1"/>
  <c r="BT185" i="1"/>
  <c r="BT187" i="1"/>
  <c r="BT193" i="1"/>
  <c r="BT195" i="1"/>
  <c r="BT198" i="1"/>
  <c r="BT207" i="1"/>
  <c r="BT186" i="1"/>
  <c r="BT190" i="1"/>
  <c r="BT191" i="1"/>
  <c r="BT192" i="1"/>
  <c r="BT194" i="1"/>
  <c r="BT203" i="1"/>
  <c r="BT204" i="1"/>
  <c r="BT188" i="1"/>
  <c r="BT196" i="1"/>
  <c r="BT197" i="1"/>
  <c r="BT199" i="1"/>
  <c r="BT200" i="1"/>
  <c r="BT201" i="1"/>
  <c r="BT202" i="1"/>
  <c r="BT205" i="1"/>
  <c r="BT189" i="1"/>
  <c r="BT208" i="1"/>
  <c r="BT209" i="1"/>
  <c r="BT212" i="1"/>
  <c r="BT223" i="1"/>
  <c r="BT235" i="1"/>
  <c r="BT238" i="1"/>
  <c r="BT244" i="1"/>
  <c r="BT245" i="1"/>
  <c r="BT230" i="1"/>
  <c r="BT232" i="1"/>
  <c r="BT236" i="1"/>
  <c r="BT240" i="1"/>
  <c r="BT241" i="1"/>
  <c r="BT242" i="1"/>
  <c r="BT243" i="1"/>
  <c r="BT210" i="1"/>
  <c r="BT222" i="1"/>
  <c r="BT225" i="1"/>
  <c r="BT237" i="1"/>
  <c r="BT239" i="1"/>
  <c r="BT246" i="1"/>
  <c r="BT247" i="1"/>
  <c r="BT250" i="1"/>
  <c r="BT251" i="1"/>
  <c r="BT253" i="1"/>
  <c r="BT257" i="1"/>
  <c r="BT263" i="1"/>
  <c r="BT265" i="1"/>
  <c r="BT272" i="1"/>
  <c r="BT273" i="1"/>
  <c r="BT262" i="1"/>
  <c r="BT264" i="1"/>
  <c r="BT267" i="1"/>
  <c r="BT268" i="1"/>
  <c r="BT269" i="1"/>
  <c r="BT270" i="1"/>
  <c r="BT271" i="1"/>
  <c r="BT248" i="1"/>
  <c r="BT249" i="1"/>
  <c r="BT252" i="1"/>
  <c r="BT256" i="1"/>
  <c r="BT258" i="1"/>
  <c r="BT266" i="1"/>
  <c r="BT274" i="1"/>
  <c r="BT275" i="1"/>
  <c r="BT276" i="1"/>
  <c r="BT278" i="1"/>
  <c r="BT279" i="1"/>
  <c r="BT280" i="1"/>
  <c r="BT285" i="1"/>
  <c r="BT288" i="1"/>
  <c r="BT289" i="1"/>
  <c r="BT290" i="1"/>
  <c r="BT277" i="1"/>
  <c r="BT282" i="1"/>
  <c r="BT283" i="1"/>
  <c r="BT284" i="1"/>
  <c r="BT286" i="1"/>
  <c r="BT287" i="1"/>
  <c r="BT291" i="1"/>
  <c r="BT292" i="1"/>
  <c r="BT2" i="1"/>
  <c r="BB189" i="1" l="1"/>
  <c r="AZ189" i="1"/>
  <c r="AX189" i="1"/>
  <c r="AW189" i="1"/>
  <c r="AV189" i="1"/>
  <c r="AS189" i="1"/>
  <c r="AM189" i="1"/>
  <c r="AO189" i="1" s="1"/>
  <c r="AL189" i="1"/>
  <c r="AJ189" i="1"/>
  <c r="AA189" i="1"/>
  <c r="Z189" i="1"/>
  <c r="Y189" i="1"/>
  <c r="P189" i="1"/>
  <c r="AQ189" i="1" s="1"/>
  <c r="O189" i="1"/>
  <c r="BF189" i="1" s="1"/>
  <c r="F189" i="1"/>
  <c r="BB188" i="1"/>
  <c r="AZ188" i="1"/>
  <c r="AX188" i="1"/>
  <c r="AW188" i="1"/>
  <c r="AV188" i="1"/>
  <c r="AS188" i="1"/>
  <c r="AM188" i="1"/>
  <c r="AO188" i="1" s="1"/>
  <c r="AL188" i="1"/>
  <c r="AJ188" i="1"/>
  <c r="AA188" i="1"/>
  <c r="Z188" i="1"/>
  <c r="Y188" i="1"/>
  <c r="P188" i="1"/>
  <c r="AQ188" i="1" s="1"/>
  <c r="O188" i="1"/>
  <c r="BF188" i="1" s="1"/>
  <c r="F188" i="1"/>
  <c r="BA188" i="1" l="1"/>
  <c r="BA189" i="1"/>
  <c r="BD188" i="1"/>
  <c r="BG188" i="1" s="1"/>
  <c r="BH188" i="1" s="1"/>
  <c r="BJ188" i="1" s="1"/>
  <c r="BD189" i="1"/>
  <c r="BG189" i="1" s="1"/>
  <c r="BH189" i="1" s="1"/>
  <c r="BC189" i="1"/>
  <c r="AB189" i="1"/>
  <c r="AE189" i="1" s="1"/>
  <c r="BC188" i="1"/>
  <c r="AC189" i="1"/>
  <c r="AF189" i="1" s="1"/>
  <c r="AD189" i="1"/>
  <c r="AG189" i="1" s="1"/>
  <c r="AB188" i="1"/>
  <c r="AE188" i="1" s="1"/>
  <c r="AC188" i="1"/>
  <c r="AF188" i="1" s="1"/>
  <c r="AD188" i="1"/>
  <c r="AG188" i="1" s="1"/>
  <c r="BJ189" i="1" l="1"/>
  <c r="BI189" i="1"/>
  <c r="BI188" i="1"/>
  <c r="AY189" i="1"/>
  <c r="AH189" i="1"/>
  <c r="AK189" i="1"/>
  <c r="AR189" i="1"/>
  <c r="AT189" i="1" s="1"/>
  <c r="AU189" i="1" s="1"/>
  <c r="AY188" i="1"/>
  <c r="AH188" i="1"/>
  <c r="AK188" i="1"/>
  <c r="AR188" i="1"/>
  <c r="AT188" i="1" s="1"/>
  <c r="AU188" i="1" s="1"/>
  <c r="AS333" i="1" l="1"/>
  <c r="AS332" i="1"/>
  <c r="AS50" i="1"/>
  <c r="AS49" i="1"/>
  <c r="AS48" i="1"/>
  <c r="AS47" i="1"/>
  <c r="AS46" i="1"/>
  <c r="AS44" i="1"/>
  <c r="AS43" i="1"/>
  <c r="AS42" i="1"/>
  <c r="AS40" i="1"/>
  <c r="AS39" i="1"/>
  <c r="AS38" i="1"/>
  <c r="AS37" i="1"/>
  <c r="AS36" i="1"/>
  <c r="AS35" i="1"/>
  <c r="AS34" i="1"/>
  <c r="AS33" i="1"/>
  <c r="AS32" i="1"/>
  <c r="AS28" i="1"/>
  <c r="BB333" i="1" l="1"/>
  <c r="AZ333" i="1"/>
  <c r="AX333" i="1"/>
  <c r="AW333" i="1"/>
  <c r="AV333" i="1"/>
  <c r="AM333" i="1"/>
  <c r="AO333" i="1" s="1"/>
  <c r="AL333" i="1"/>
  <c r="AJ333" i="1"/>
  <c r="AA333" i="1"/>
  <c r="Z333" i="1"/>
  <c r="Y333" i="1"/>
  <c r="P333" i="1"/>
  <c r="AQ333" i="1" s="1"/>
  <c r="O333" i="1"/>
  <c r="F333" i="1"/>
  <c r="BB332" i="1"/>
  <c r="AZ332" i="1"/>
  <c r="AX332" i="1"/>
  <c r="AW332" i="1"/>
  <c r="AV332" i="1"/>
  <c r="AM332" i="1"/>
  <c r="AO332" i="1" s="1"/>
  <c r="AL332" i="1"/>
  <c r="AJ332" i="1"/>
  <c r="AA332" i="1"/>
  <c r="Z332" i="1"/>
  <c r="Y332" i="1"/>
  <c r="P332" i="1"/>
  <c r="AQ332" i="1" s="1"/>
  <c r="O332" i="1"/>
  <c r="BF332" i="1" s="1"/>
  <c r="F332" i="1"/>
  <c r="BB50" i="1"/>
  <c r="AZ50" i="1"/>
  <c r="AX50" i="1"/>
  <c r="AW50" i="1"/>
  <c r="AV50" i="1"/>
  <c r="AM50" i="1"/>
  <c r="AO50" i="1" s="1"/>
  <c r="AL50" i="1"/>
  <c r="AJ50" i="1"/>
  <c r="AA50" i="1"/>
  <c r="Z50" i="1"/>
  <c r="Y50" i="1"/>
  <c r="P50" i="1"/>
  <c r="AQ50" i="1" s="1"/>
  <c r="O50" i="1"/>
  <c r="AB50" i="1" s="1"/>
  <c r="F50" i="1"/>
  <c r="BB49" i="1"/>
  <c r="AZ49" i="1"/>
  <c r="AX49" i="1"/>
  <c r="AW49" i="1"/>
  <c r="AV49" i="1"/>
  <c r="AM49" i="1"/>
  <c r="AO49" i="1" s="1"/>
  <c r="AL49" i="1"/>
  <c r="AJ49" i="1"/>
  <c r="AA49" i="1"/>
  <c r="Z49" i="1"/>
  <c r="Y49" i="1"/>
  <c r="P49" i="1"/>
  <c r="AQ49" i="1" s="1"/>
  <c r="O49" i="1"/>
  <c r="AC49" i="1" s="1"/>
  <c r="F49" i="1"/>
  <c r="BB48" i="1"/>
  <c r="AZ48" i="1"/>
  <c r="AX48" i="1"/>
  <c r="AW48" i="1"/>
  <c r="AV48" i="1"/>
  <c r="AM48" i="1"/>
  <c r="AO48" i="1" s="1"/>
  <c r="AL48" i="1"/>
  <c r="AJ48" i="1"/>
  <c r="AA48" i="1"/>
  <c r="Z48" i="1"/>
  <c r="Y48" i="1"/>
  <c r="P48" i="1"/>
  <c r="AQ48" i="1" s="1"/>
  <c r="O48" i="1"/>
  <c r="F48" i="1"/>
  <c r="BB47" i="1"/>
  <c r="AZ47" i="1"/>
  <c r="AX47" i="1"/>
  <c r="AW47" i="1"/>
  <c r="AV47" i="1"/>
  <c r="AM47" i="1"/>
  <c r="AO47" i="1" s="1"/>
  <c r="AL47" i="1"/>
  <c r="AJ47" i="1"/>
  <c r="AA47" i="1"/>
  <c r="Z47" i="1"/>
  <c r="Y47" i="1"/>
  <c r="P47" i="1"/>
  <c r="AQ47" i="1" s="1"/>
  <c r="O47" i="1"/>
  <c r="BF47" i="1" s="1"/>
  <c r="F47" i="1"/>
  <c r="BB46" i="1"/>
  <c r="AZ46" i="1"/>
  <c r="AX46" i="1"/>
  <c r="AW46" i="1"/>
  <c r="AV46" i="1"/>
  <c r="AM46" i="1"/>
  <c r="AO46" i="1" s="1"/>
  <c r="AL46" i="1"/>
  <c r="AJ46" i="1"/>
  <c r="AA46" i="1"/>
  <c r="Z46" i="1"/>
  <c r="Y46" i="1"/>
  <c r="P46" i="1"/>
  <c r="AQ46" i="1" s="1"/>
  <c r="O46" i="1"/>
  <c r="AC46" i="1" s="1"/>
  <c r="F46" i="1"/>
  <c r="BB45" i="1"/>
  <c r="AZ45" i="1"/>
  <c r="AX45" i="1"/>
  <c r="AW45" i="1"/>
  <c r="AV45" i="1"/>
  <c r="AS45" i="1"/>
  <c r="AM45" i="1"/>
  <c r="AO45" i="1" s="1"/>
  <c r="AL45" i="1"/>
  <c r="AJ45" i="1"/>
  <c r="AA45" i="1"/>
  <c r="Z45" i="1"/>
  <c r="Y45" i="1"/>
  <c r="P45" i="1"/>
  <c r="AQ45" i="1" s="1"/>
  <c r="O45" i="1"/>
  <c r="BF45" i="1" s="1"/>
  <c r="F45" i="1"/>
  <c r="BB44" i="1"/>
  <c r="AZ44" i="1"/>
  <c r="AX44" i="1"/>
  <c r="AW44" i="1"/>
  <c r="AV44" i="1"/>
  <c r="AM44" i="1"/>
  <c r="AO44" i="1" s="1"/>
  <c r="AL44" i="1"/>
  <c r="AJ44" i="1"/>
  <c r="AA44" i="1"/>
  <c r="Z44" i="1"/>
  <c r="Y44" i="1"/>
  <c r="P44" i="1"/>
  <c r="AQ44" i="1" s="1"/>
  <c r="O44" i="1"/>
  <c r="AB44" i="1" s="1"/>
  <c r="F44" i="1"/>
  <c r="BB43" i="1"/>
  <c r="AZ43" i="1"/>
  <c r="AX43" i="1"/>
  <c r="AW43" i="1"/>
  <c r="AV43" i="1"/>
  <c r="AM43" i="1"/>
  <c r="AO43" i="1" s="1"/>
  <c r="AL43" i="1"/>
  <c r="AJ43" i="1"/>
  <c r="AA43" i="1"/>
  <c r="Z43" i="1"/>
  <c r="Y43" i="1"/>
  <c r="P43" i="1"/>
  <c r="AQ43" i="1" s="1"/>
  <c r="O43" i="1"/>
  <c r="AC43" i="1" s="1"/>
  <c r="F43" i="1"/>
  <c r="BB42" i="1"/>
  <c r="AZ42" i="1"/>
  <c r="AX42" i="1"/>
  <c r="AW42" i="1"/>
  <c r="AV42" i="1"/>
  <c r="AM42" i="1"/>
  <c r="AO42" i="1" s="1"/>
  <c r="AL42" i="1"/>
  <c r="AJ42" i="1"/>
  <c r="AA42" i="1"/>
  <c r="Z42" i="1"/>
  <c r="Y42" i="1"/>
  <c r="P42" i="1"/>
  <c r="AQ42" i="1" s="1"/>
  <c r="O42" i="1"/>
  <c r="F42" i="1"/>
  <c r="BB41" i="1"/>
  <c r="AZ41" i="1"/>
  <c r="AX41" i="1"/>
  <c r="AW41" i="1"/>
  <c r="AV41" i="1"/>
  <c r="AS41" i="1"/>
  <c r="AM41" i="1"/>
  <c r="AO41" i="1" s="1"/>
  <c r="AL41" i="1"/>
  <c r="AJ41" i="1"/>
  <c r="AA41" i="1"/>
  <c r="Z41" i="1"/>
  <c r="Y41" i="1"/>
  <c r="P41" i="1"/>
  <c r="AQ41" i="1" s="1"/>
  <c r="O41" i="1"/>
  <c r="AC41" i="1" s="1"/>
  <c r="F41" i="1"/>
  <c r="BB40" i="1"/>
  <c r="AZ40" i="1"/>
  <c r="BA40" i="1" s="1"/>
  <c r="AX40" i="1"/>
  <c r="AW40" i="1"/>
  <c r="AV40" i="1"/>
  <c r="AM40" i="1"/>
  <c r="AO40" i="1" s="1"/>
  <c r="AJ40" i="1"/>
  <c r="AA40" i="1"/>
  <c r="Z40" i="1"/>
  <c r="Y40" i="1"/>
  <c r="P40" i="1"/>
  <c r="AQ40" i="1" s="1"/>
  <c r="O40" i="1"/>
  <c r="AB40" i="1" s="1"/>
  <c r="F40" i="1"/>
  <c r="BB39" i="1"/>
  <c r="AZ39" i="1"/>
  <c r="AX39" i="1"/>
  <c r="AW39" i="1"/>
  <c r="AV39" i="1"/>
  <c r="AM39" i="1"/>
  <c r="AO39" i="1" s="1"/>
  <c r="AL39" i="1"/>
  <c r="AJ39" i="1"/>
  <c r="AA39" i="1"/>
  <c r="Z39" i="1"/>
  <c r="Y39" i="1"/>
  <c r="P39" i="1"/>
  <c r="AQ39" i="1" s="1"/>
  <c r="O39" i="1"/>
  <c r="AC39" i="1" s="1"/>
  <c r="F39" i="1"/>
  <c r="BB38" i="1"/>
  <c r="AZ38" i="1"/>
  <c r="AX38" i="1"/>
  <c r="AW38" i="1"/>
  <c r="AV38" i="1"/>
  <c r="AM38" i="1"/>
  <c r="AO38" i="1" s="1"/>
  <c r="AL38" i="1"/>
  <c r="AJ38" i="1"/>
  <c r="AA38" i="1"/>
  <c r="Z38" i="1"/>
  <c r="Y38" i="1"/>
  <c r="P38" i="1"/>
  <c r="AQ38" i="1" s="1"/>
  <c r="O38" i="1"/>
  <c r="F38" i="1"/>
  <c r="BB37" i="1"/>
  <c r="AZ37" i="1"/>
  <c r="AX37" i="1"/>
  <c r="AW37" i="1"/>
  <c r="AV37" i="1"/>
  <c r="AM37" i="1"/>
  <c r="AO37" i="1" s="1"/>
  <c r="AL37" i="1"/>
  <c r="AJ37" i="1"/>
  <c r="AA37" i="1"/>
  <c r="Z37" i="1"/>
  <c r="Y37" i="1"/>
  <c r="P37" i="1"/>
  <c r="AQ37" i="1" s="1"/>
  <c r="O37" i="1"/>
  <c r="AC37" i="1" s="1"/>
  <c r="F37" i="1"/>
  <c r="BB36" i="1"/>
  <c r="AZ36" i="1"/>
  <c r="AX36" i="1"/>
  <c r="AW36" i="1"/>
  <c r="AV36" i="1"/>
  <c r="AM36" i="1"/>
  <c r="AO36" i="1" s="1"/>
  <c r="AL36" i="1"/>
  <c r="AJ36" i="1"/>
  <c r="AA36" i="1"/>
  <c r="Z36" i="1"/>
  <c r="Y36" i="1"/>
  <c r="P36" i="1"/>
  <c r="AQ36" i="1" s="1"/>
  <c r="O36" i="1"/>
  <c r="AB36" i="1" s="1"/>
  <c r="F36" i="1"/>
  <c r="BB35" i="1"/>
  <c r="AZ35" i="1"/>
  <c r="AX35" i="1"/>
  <c r="AW35" i="1"/>
  <c r="AV35" i="1"/>
  <c r="AM35" i="1"/>
  <c r="AO35" i="1" s="1"/>
  <c r="AL35" i="1"/>
  <c r="AJ35" i="1"/>
  <c r="AA35" i="1"/>
  <c r="Z35" i="1"/>
  <c r="Y35" i="1"/>
  <c r="P35" i="1"/>
  <c r="AQ35" i="1" s="1"/>
  <c r="O35" i="1"/>
  <c r="AC35" i="1" s="1"/>
  <c r="F35" i="1"/>
  <c r="BB34" i="1"/>
  <c r="AZ34" i="1"/>
  <c r="AX34" i="1"/>
  <c r="AW34" i="1"/>
  <c r="AV34" i="1"/>
  <c r="AM34" i="1"/>
  <c r="AO34" i="1" s="1"/>
  <c r="AL34" i="1"/>
  <c r="AJ34" i="1"/>
  <c r="AA34" i="1"/>
  <c r="Z34" i="1"/>
  <c r="Y34" i="1"/>
  <c r="P34" i="1"/>
  <c r="AQ34" i="1" s="1"/>
  <c r="O34" i="1"/>
  <c r="F34" i="1"/>
  <c r="BB33" i="1"/>
  <c r="AZ33" i="1"/>
  <c r="AX33" i="1"/>
  <c r="AW33" i="1"/>
  <c r="AV33" i="1"/>
  <c r="AM33" i="1"/>
  <c r="AO33" i="1" s="1"/>
  <c r="AL33" i="1"/>
  <c r="AJ33" i="1"/>
  <c r="AA33" i="1"/>
  <c r="Z33" i="1"/>
  <c r="Y33" i="1"/>
  <c r="P33" i="1"/>
  <c r="AQ33" i="1" s="1"/>
  <c r="O33" i="1"/>
  <c r="AC33" i="1" s="1"/>
  <c r="F33" i="1"/>
  <c r="BB32" i="1"/>
  <c r="AZ32" i="1"/>
  <c r="AX32" i="1"/>
  <c r="AW32" i="1"/>
  <c r="AV32" i="1"/>
  <c r="AM32" i="1"/>
  <c r="AO32" i="1" s="1"/>
  <c r="AL32" i="1"/>
  <c r="AJ32" i="1"/>
  <c r="AA32" i="1"/>
  <c r="Z32" i="1"/>
  <c r="Y32" i="1"/>
  <c r="P32" i="1"/>
  <c r="AQ32" i="1" s="1"/>
  <c r="O32" i="1"/>
  <c r="AC32" i="1" s="1"/>
  <c r="F32" i="1"/>
  <c r="BB29" i="1"/>
  <c r="AZ29" i="1"/>
  <c r="AX29" i="1"/>
  <c r="AW29" i="1"/>
  <c r="AV29" i="1"/>
  <c r="AS29" i="1"/>
  <c r="AM29" i="1"/>
  <c r="AO29" i="1" s="1"/>
  <c r="AL29" i="1"/>
  <c r="AJ29" i="1"/>
  <c r="AA29" i="1"/>
  <c r="Z29" i="1"/>
  <c r="Y29" i="1"/>
  <c r="P29" i="1"/>
  <c r="AQ29" i="1" s="1"/>
  <c r="O29" i="1"/>
  <c r="AC29" i="1" s="1"/>
  <c r="F29" i="1"/>
  <c r="BB28" i="1"/>
  <c r="AZ28" i="1"/>
  <c r="AX28" i="1"/>
  <c r="AW28" i="1"/>
  <c r="AV28" i="1"/>
  <c r="AM28" i="1"/>
  <c r="AO28" i="1" s="1"/>
  <c r="AL28" i="1"/>
  <c r="AJ28" i="1"/>
  <c r="AA28" i="1"/>
  <c r="Z28" i="1"/>
  <c r="Y28" i="1"/>
  <c r="P28" i="1"/>
  <c r="AQ28" i="1" s="1"/>
  <c r="O28" i="1"/>
  <c r="BF28" i="1" s="1"/>
  <c r="F28" i="1"/>
  <c r="BC50" i="1" l="1"/>
  <c r="AF43" i="1"/>
  <c r="BA332" i="1"/>
  <c r="BA43" i="1"/>
  <c r="AE36" i="1"/>
  <c r="AE40" i="1"/>
  <c r="BC40" i="1"/>
  <c r="BF35" i="1"/>
  <c r="AC50" i="1"/>
  <c r="AF50" i="1" s="1"/>
  <c r="BC35" i="1"/>
  <c r="BA29" i="1"/>
  <c r="BA33" i="1"/>
  <c r="AD45" i="1"/>
  <c r="AG45" i="1" s="1"/>
  <c r="BA45" i="1"/>
  <c r="BC28" i="1"/>
  <c r="BA47" i="1"/>
  <c r="BA38" i="1"/>
  <c r="AD49" i="1"/>
  <c r="AG49" i="1" s="1"/>
  <c r="AE50" i="1"/>
  <c r="AD28" i="1"/>
  <c r="AG28" i="1" s="1"/>
  <c r="BA333" i="1"/>
  <c r="AB28" i="1"/>
  <c r="AE28" i="1" s="1"/>
  <c r="BA28" i="1"/>
  <c r="AB37" i="1"/>
  <c r="AE37" i="1" s="1"/>
  <c r="BA37" i="1"/>
  <c r="BA46" i="1"/>
  <c r="BC47" i="1"/>
  <c r="BF49" i="1"/>
  <c r="BA34" i="1"/>
  <c r="AB35" i="1"/>
  <c r="AE35" i="1" s="1"/>
  <c r="BA35" i="1"/>
  <c r="AD37" i="1"/>
  <c r="AG37" i="1" s="1"/>
  <c r="BC37" i="1"/>
  <c r="BD44" i="1"/>
  <c r="BA48" i="1"/>
  <c r="AB49" i="1"/>
  <c r="AE49" i="1" s="1"/>
  <c r="AF29" i="1"/>
  <c r="BD32" i="1"/>
  <c r="AD35" i="1"/>
  <c r="AG35" i="1" s="1"/>
  <c r="BF37" i="1"/>
  <c r="BA39" i="1"/>
  <c r="AC40" i="1"/>
  <c r="AF40" i="1" s="1"/>
  <c r="BA42" i="1"/>
  <c r="BA49" i="1"/>
  <c r="BD332" i="1"/>
  <c r="BG332" i="1" s="1"/>
  <c r="BH332" i="1" s="1"/>
  <c r="BJ332" i="1" s="1"/>
  <c r="BC332" i="1"/>
  <c r="BC29" i="1"/>
  <c r="BF29" i="1"/>
  <c r="AB33" i="1"/>
  <c r="AE33" i="1" s="1"/>
  <c r="BC33" i="1"/>
  <c r="BF33" i="1"/>
  <c r="BD36" i="1"/>
  <c r="BC36" i="1"/>
  <c r="AB39" i="1"/>
  <c r="AE39" i="1" s="1"/>
  <c r="BC39" i="1"/>
  <c r="BF39" i="1"/>
  <c r="AF41" i="1"/>
  <c r="BC41" i="1"/>
  <c r="AC44" i="1"/>
  <c r="AF44" i="1" s="1"/>
  <c r="BD45" i="1"/>
  <c r="BG45" i="1" s="1"/>
  <c r="BH45" i="1" s="1"/>
  <c r="AB46" i="1"/>
  <c r="AE46" i="1" s="1"/>
  <c r="BC46" i="1"/>
  <c r="BF46" i="1"/>
  <c r="AB47" i="1"/>
  <c r="AE47" i="1" s="1"/>
  <c r="BC49" i="1"/>
  <c r="AB332" i="1"/>
  <c r="AE332" i="1" s="1"/>
  <c r="BD28" i="1"/>
  <c r="BG28" i="1" s="1"/>
  <c r="BH28" i="1" s="1"/>
  <c r="AB29" i="1"/>
  <c r="AE29" i="1" s="1"/>
  <c r="AD33" i="1"/>
  <c r="BD35" i="1"/>
  <c r="BC38" i="1"/>
  <c r="AD39" i="1"/>
  <c r="AG39" i="1" s="1"/>
  <c r="AB43" i="1"/>
  <c r="AE43" i="1" s="1"/>
  <c r="BC43" i="1"/>
  <c r="BF43" i="1"/>
  <c r="AE44" i="1"/>
  <c r="AD46" i="1"/>
  <c r="AF49" i="1"/>
  <c r="BD29" i="1"/>
  <c r="AF33" i="1"/>
  <c r="BD33" i="1"/>
  <c r="AC36" i="1"/>
  <c r="AF36" i="1" s="1"/>
  <c r="AF37" i="1"/>
  <c r="BD37" i="1"/>
  <c r="AF39" i="1"/>
  <c r="BC42" i="1"/>
  <c r="AD43" i="1"/>
  <c r="AG43" i="1" s="1"/>
  <c r="BC44" i="1"/>
  <c r="AB45" i="1"/>
  <c r="AE45" i="1" s="1"/>
  <c r="BC45" i="1"/>
  <c r="AF46" i="1"/>
  <c r="BD47" i="1"/>
  <c r="BG47" i="1" s="1"/>
  <c r="BH47" i="1" s="1"/>
  <c r="BD41" i="1"/>
  <c r="BD50" i="1"/>
  <c r="AC28" i="1"/>
  <c r="AF28" i="1" s="1"/>
  <c r="AD29" i="1"/>
  <c r="AF35" i="1"/>
  <c r="BD39" i="1"/>
  <c r="AB32" i="1"/>
  <c r="AE32" i="1" s="1"/>
  <c r="BF32" i="1"/>
  <c r="AD32" i="1"/>
  <c r="AG32" i="1" s="1"/>
  <c r="BA32" i="1"/>
  <c r="BF38" i="1"/>
  <c r="AD38" i="1"/>
  <c r="AC38" i="1"/>
  <c r="AF38" i="1" s="1"/>
  <c r="AB38" i="1"/>
  <c r="AE38" i="1" s="1"/>
  <c r="BD38" i="1"/>
  <c r="AF32" i="1"/>
  <c r="BC32" i="1"/>
  <c r="BF34" i="1"/>
  <c r="AD34" i="1"/>
  <c r="AG34" i="1" s="1"/>
  <c r="AC34" i="1"/>
  <c r="AF34" i="1" s="1"/>
  <c r="AB34" i="1"/>
  <c r="AE34" i="1" s="1"/>
  <c r="BD34" i="1"/>
  <c r="BC34" i="1"/>
  <c r="BA36" i="1"/>
  <c r="AD36" i="1"/>
  <c r="AG36" i="1" s="1"/>
  <c r="BF36" i="1"/>
  <c r="AD40" i="1"/>
  <c r="BD40" i="1"/>
  <c r="BF40" i="1"/>
  <c r="AB41" i="1"/>
  <c r="AE41" i="1" s="1"/>
  <c r="BF41" i="1"/>
  <c r="AD41" i="1"/>
  <c r="AG41" i="1" s="1"/>
  <c r="BD43" i="1"/>
  <c r="BF333" i="1"/>
  <c r="AD333" i="1"/>
  <c r="AG333" i="1" s="1"/>
  <c r="AC333" i="1"/>
  <c r="AF333" i="1" s="1"/>
  <c r="AB333" i="1"/>
  <c r="AE333" i="1" s="1"/>
  <c r="BD333" i="1"/>
  <c r="BF42" i="1"/>
  <c r="AD42" i="1"/>
  <c r="AG42" i="1" s="1"/>
  <c r="AC42" i="1"/>
  <c r="AF42" i="1" s="1"/>
  <c r="AB42" i="1"/>
  <c r="AE42" i="1" s="1"/>
  <c r="BD42" i="1"/>
  <c r="BA44" i="1"/>
  <c r="BF48" i="1"/>
  <c r="AD48" i="1"/>
  <c r="AG48" i="1" s="1"/>
  <c r="AC48" i="1"/>
  <c r="AF48" i="1" s="1"/>
  <c r="AB48" i="1"/>
  <c r="AE48" i="1" s="1"/>
  <c r="BD48" i="1"/>
  <c r="BC48" i="1"/>
  <c r="BD49" i="1"/>
  <c r="BC333" i="1"/>
  <c r="BA41" i="1"/>
  <c r="BD46" i="1"/>
  <c r="BA50" i="1"/>
  <c r="AD44" i="1"/>
  <c r="AG44" i="1" s="1"/>
  <c r="BF44" i="1"/>
  <c r="AC45" i="1"/>
  <c r="AF45" i="1" s="1"/>
  <c r="AC47" i="1"/>
  <c r="AF47" i="1" s="1"/>
  <c r="AD50" i="1"/>
  <c r="AG50" i="1" s="1"/>
  <c r="BF50" i="1"/>
  <c r="AC332" i="1"/>
  <c r="AF332" i="1" s="1"/>
  <c r="AD47" i="1"/>
  <c r="AG47" i="1" s="1"/>
  <c r="AD332" i="1"/>
  <c r="AL321" i="1"/>
  <c r="BB176" i="1"/>
  <c r="AZ176" i="1"/>
  <c r="AX176" i="1"/>
  <c r="AW176" i="1"/>
  <c r="AV176" i="1"/>
  <c r="AS176" i="1"/>
  <c r="AM176" i="1"/>
  <c r="AO176" i="1" s="1"/>
  <c r="AL176" i="1"/>
  <c r="AJ176" i="1"/>
  <c r="AA176" i="1"/>
  <c r="Z176" i="1"/>
  <c r="Y176" i="1"/>
  <c r="P176" i="1"/>
  <c r="AQ176" i="1" s="1"/>
  <c r="O176" i="1"/>
  <c r="BF176" i="1" s="1"/>
  <c r="F176" i="1"/>
  <c r="BB173" i="1"/>
  <c r="AZ173" i="1"/>
  <c r="AX173" i="1"/>
  <c r="AW173" i="1"/>
  <c r="AV173" i="1"/>
  <c r="AS173" i="1"/>
  <c r="AM173" i="1"/>
  <c r="AO173" i="1" s="1"/>
  <c r="AL173" i="1"/>
  <c r="AJ173" i="1"/>
  <c r="AA173" i="1"/>
  <c r="Z173" i="1"/>
  <c r="Y173" i="1"/>
  <c r="P173" i="1"/>
  <c r="AQ173" i="1" s="1"/>
  <c r="O173" i="1"/>
  <c r="BF173" i="1" s="1"/>
  <c r="F173" i="1"/>
  <c r="BB179" i="1"/>
  <c r="AZ179" i="1"/>
  <c r="AX179" i="1"/>
  <c r="AW179" i="1"/>
  <c r="AV179" i="1"/>
  <c r="AS179" i="1"/>
  <c r="AM179" i="1"/>
  <c r="AO179" i="1" s="1"/>
  <c r="AL179" i="1"/>
  <c r="AJ179" i="1"/>
  <c r="AA179" i="1"/>
  <c r="Z179" i="1"/>
  <c r="Y179" i="1"/>
  <c r="P179" i="1"/>
  <c r="AQ179" i="1" s="1"/>
  <c r="O179" i="1"/>
  <c r="AC179" i="1" s="1"/>
  <c r="F179" i="1"/>
  <c r="BB175" i="1"/>
  <c r="AZ175" i="1"/>
  <c r="AX175" i="1"/>
  <c r="AW175" i="1"/>
  <c r="AV175" i="1"/>
  <c r="AS175" i="1"/>
  <c r="AM175" i="1"/>
  <c r="AO175" i="1" s="1"/>
  <c r="AL175" i="1"/>
  <c r="AJ175" i="1"/>
  <c r="AA175" i="1"/>
  <c r="Z175" i="1"/>
  <c r="Y175" i="1"/>
  <c r="P175" i="1"/>
  <c r="AQ175" i="1" s="1"/>
  <c r="O175" i="1"/>
  <c r="BF175" i="1" s="1"/>
  <c r="F175" i="1"/>
  <c r="BB174" i="1"/>
  <c r="AZ174" i="1"/>
  <c r="AX174" i="1"/>
  <c r="AW174" i="1"/>
  <c r="AV174" i="1"/>
  <c r="AS174" i="1"/>
  <c r="AM174" i="1"/>
  <c r="AO174" i="1" s="1"/>
  <c r="AL174" i="1"/>
  <c r="AJ174" i="1"/>
  <c r="AA174" i="1"/>
  <c r="Z174" i="1"/>
  <c r="Y174" i="1"/>
  <c r="P174" i="1"/>
  <c r="AQ174" i="1" s="1"/>
  <c r="O174" i="1"/>
  <c r="BF174" i="1" s="1"/>
  <c r="F174" i="1"/>
  <c r="BB172" i="1"/>
  <c r="AZ172" i="1"/>
  <c r="AX172" i="1"/>
  <c r="AW172" i="1"/>
  <c r="AV172" i="1"/>
  <c r="AS172" i="1"/>
  <c r="AM172" i="1"/>
  <c r="AO172" i="1" s="1"/>
  <c r="AL172" i="1"/>
  <c r="AJ172" i="1"/>
  <c r="AA172" i="1"/>
  <c r="Z172" i="1"/>
  <c r="Y172" i="1"/>
  <c r="P172" i="1"/>
  <c r="AQ172" i="1" s="1"/>
  <c r="O172" i="1"/>
  <c r="AB172" i="1" s="1"/>
  <c r="F172" i="1"/>
  <c r="BB171" i="1"/>
  <c r="AZ171" i="1"/>
  <c r="AX171" i="1"/>
  <c r="AW171" i="1"/>
  <c r="AV171" i="1"/>
  <c r="AS171" i="1"/>
  <c r="AM171" i="1"/>
  <c r="AO171" i="1" s="1"/>
  <c r="AL171" i="1"/>
  <c r="AJ171" i="1"/>
  <c r="AA171" i="1"/>
  <c r="Z171" i="1"/>
  <c r="Y171" i="1"/>
  <c r="P171" i="1"/>
  <c r="AQ171" i="1" s="1"/>
  <c r="O171" i="1"/>
  <c r="AC171" i="1" s="1"/>
  <c r="F171" i="1"/>
  <c r="BB153" i="1"/>
  <c r="AZ153" i="1"/>
  <c r="AX153" i="1"/>
  <c r="AW153" i="1"/>
  <c r="AV153" i="1"/>
  <c r="AS153" i="1"/>
  <c r="AM153" i="1"/>
  <c r="AO153" i="1" s="1"/>
  <c r="AL153" i="1"/>
  <c r="AJ153" i="1"/>
  <c r="AA153" i="1"/>
  <c r="Z153" i="1"/>
  <c r="Y153" i="1"/>
  <c r="P153" i="1"/>
  <c r="AQ153" i="1" s="1"/>
  <c r="O153" i="1"/>
  <c r="BF153" i="1" s="1"/>
  <c r="F153" i="1"/>
  <c r="BB165" i="1"/>
  <c r="AZ165" i="1"/>
  <c r="AX165" i="1"/>
  <c r="AW165" i="1"/>
  <c r="AV165" i="1"/>
  <c r="AS165" i="1"/>
  <c r="AM165" i="1"/>
  <c r="AO165" i="1" s="1"/>
  <c r="AL165" i="1"/>
  <c r="AJ165" i="1"/>
  <c r="AA165" i="1"/>
  <c r="Z165" i="1"/>
  <c r="Y165" i="1"/>
  <c r="P165" i="1"/>
  <c r="AQ165" i="1" s="1"/>
  <c r="O165" i="1"/>
  <c r="BF165" i="1" s="1"/>
  <c r="F165" i="1"/>
  <c r="BB163" i="1"/>
  <c r="AZ163" i="1"/>
  <c r="AX163" i="1"/>
  <c r="AW163" i="1"/>
  <c r="AV163" i="1"/>
  <c r="AS163" i="1"/>
  <c r="AM163" i="1"/>
  <c r="AO163" i="1" s="1"/>
  <c r="AL163" i="1"/>
  <c r="AJ163" i="1"/>
  <c r="AA163" i="1"/>
  <c r="Z163" i="1"/>
  <c r="Y163" i="1"/>
  <c r="P163" i="1"/>
  <c r="AQ163" i="1" s="1"/>
  <c r="O163" i="1"/>
  <c r="BF163" i="1" s="1"/>
  <c r="F163" i="1"/>
  <c r="BB146" i="1"/>
  <c r="AZ146" i="1"/>
  <c r="AX146" i="1"/>
  <c r="AW146" i="1"/>
  <c r="AV146" i="1"/>
  <c r="AS146" i="1"/>
  <c r="AM146" i="1"/>
  <c r="AO146" i="1" s="1"/>
  <c r="AL146" i="1"/>
  <c r="AJ146" i="1"/>
  <c r="AA146" i="1"/>
  <c r="Z146" i="1"/>
  <c r="Y146" i="1"/>
  <c r="P146" i="1"/>
  <c r="AQ146" i="1" s="1"/>
  <c r="O146" i="1"/>
  <c r="BF146" i="1" s="1"/>
  <c r="F146" i="1"/>
  <c r="BB154" i="1"/>
  <c r="AZ154" i="1"/>
  <c r="AX154" i="1"/>
  <c r="AW154" i="1"/>
  <c r="AV154" i="1"/>
  <c r="AS154" i="1"/>
  <c r="AM154" i="1"/>
  <c r="AO154" i="1" s="1"/>
  <c r="AL154" i="1"/>
  <c r="AJ154" i="1"/>
  <c r="AA154" i="1"/>
  <c r="Z154" i="1"/>
  <c r="Y154" i="1"/>
  <c r="P154" i="1"/>
  <c r="AQ154" i="1" s="1"/>
  <c r="O154" i="1"/>
  <c r="BF154" i="1" s="1"/>
  <c r="F154" i="1"/>
  <c r="BB161" i="1"/>
  <c r="AZ161" i="1"/>
  <c r="AX161" i="1"/>
  <c r="AW161" i="1"/>
  <c r="AV161" i="1"/>
  <c r="AS161" i="1"/>
  <c r="AM161" i="1"/>
  <c r="AO161" i="1" s="1"/>
  <c r="AL161" i="1"/>
  <c r="AJ161" i="1"/>
  <c r="AA161" i="1"/>
  <c r="Z161" i="1"/>
  <c r="Y161" i="1"/>
  <c r="P161" i="1"/>
  <c r="AQ161" i="1" s="1"/>
  <c r="O161" i="1"/>
  <c r="BF161" i="1" s="1"/>
  <c r="F161" i="1"/>
  <c r="BB159" i="1"/>
  <c r="AZ159" i="1"/>
  <c r="AX159" i="1"/>
  <c r="AW159" i="1"/>
  <c r="AV159" i="1"/>
  <c r="AS159" i="1"/>
  <c r="AM159" i="1"/>
  <c r="AO159" i="1" s="1"/>
  <c r="AL159" i="1"/>
  <c r="AJ159" i="1"/>
  <c r="AA159" i="1"/>
  <c r="Z159" i="1"/>
  <c r="Y159" i="1"/>
  <c r="P159" i="1"/>
  <c r="AQ159" i="1" s="1"/>
  <c r="O159" i="1"/>
  <c r="BF159" i="1" s="1"/>
  <c r="F159" i="1"/>
  <c r="BB167" i="1"/>
  <c r="AZ167" i="1"/>
  <c r="AX167" i="1"/>
  <c r="AW167" i="1"/>
  <c r="AV167" i="1"/>
  <c r="AS167" i="1"/>
  <c r="AM167" i="1"/>
  <c r="AO167" i="1" s="1"/>
  <c r="AL167" i="1"/>
  <c r="AJ167" i="1"/>
  <c r="AA167" i="1"/>
  <c r="Z167" i="1"/>
  <c r="Y167" i="1"/>
  <c r="P167" i="1"/>
  <c r="AQ167" i="1" s="1"/>
  <c r="O167" i="1"/>
  <c r="AC167" i="1" s="1"/>
  <c r="F167" i="1"/>
  <c r="BG35" i="1" l="1"/>
  <c r="BH35" i="1" s="1"/>
  <c r="BI35" i="1" s="1"/>
  <c r="BG37" i="1"/>
  <c r="BH37" i="1" s="1"/>
  <c r="BJ37" i="1" s="1"/>
  <c r="BG49" i="1"/>
  <c r="BH49" i="1" s="1"/>
  <c r="BI49" i="1" s="1"/>
  <c r="BG33" i="1"/>
  <c r="BH33" i="1" s="1"/>
  <c r="BJ33" i="1" s="1"/>
  <c r="BI332" i="1"/>
  <c r="AY38" i="1"/>
  <c r="AR39" i="1"/>
  <c r="AT39" i="1" s="1"/>
  <c r="AU39" i="1" s="1"/>
  <c r="AY35" i="1"/>
  <c r="BG43" i="1"/>
  <c r="BH43" i="1" s="1"/>
  <c r="BJ43" i="1" s="1"/>
  <c r="AY37" i="1"/>
  <c r="AK39" i="1"/>
  <c r="AR50" i="1"/>
  <c r="AT50" i="1" s="1"/>
  <c r="AU50" i="1" s="1"/>
  <c r="BG44" i="1"/>
  <c r="BH44" i="1" s="1"/>
  <c r="BI44" i="1" s="1"/>
  <c r="BG41" i="1"/>
  <c r="BH41" i="1" s="1"/>
  <c r="BI41" i="1" s="1"/>
  <c r="AY46" i="1"/>
  <c r="AK49" i="1"/>
  <c r="AY49" i="1"/>
  <c r="AR49" i="1"/>
  <c r="AT49" i="1" s="1"/>
  <c r="AU49" i="1" s="1"/>
  <c r="AG38" i="1"/>
  <c r="AR38" i="1" s="1"/>
  <c r="AT38" i="1" s="1"/>
  <c r="AU38" i="1" s="1"/>
  <c r="AR37" i="1"/>
  <c r="AT37" i="1" s="1"/>
  <c r="AU37" i="1" s="1"/>
  <c r="AK43" i="1"/>
  <c r="BG38" i="1"/>
  <c r="BH38" i="1" s="1"/>
  <c r="BI38" i="1" s="1"/>
  <c r="AY39" i="1"/>
  <c r="BG32" i="1"/>
  <c r="BH32" i="1" s="1"/>
  <c r="BJ32" i="1" s="1"/>
  <c r="AY29" i="1"/>
  <c r="AK36" i="1"/>
  <c r="BG39" i="1"/>
  <c r="BH39" i="1" s="1"/>
  <c r="BI39" i="1" s="1"/>
  <c r="AY332" i="1"/>
  <c r="AK45" i="1"/>
  <c r="AG46" i="1"/>
  <c r="AH46" i="1" s="1"/>
  <c r="AR43" i="1"/>
  <c r="AT43" i="1" s="1"/>
  <c r="AU43" i="1" s="1"/>
  <c r="BG40" i="1"/>
  <c r="BH40" i="1" s="1"/>
  <c r="BJ40" i="1" s="1"/>
  <c r="AR35" i="1"/>
  <c r="AT35" i="1" s="1"/>
  <c r="AU35" i="1" s="1"/>
  <c r="AR28" i="1"/>
  <c r="AT28" i="1" s="1"/>
  <c r="AU28" i="1" s="1"/>
  <c r="AH49" i="1"/>
  <c r="BG29" i="1"/>
  <c r="BH29" i="1" s="1"/>
  <c r="BJ29" i="1" s="1"/>
  <c r="AK47" i="1"/>
  <c r="AH45" i="1"/>
  <c r="AY28" i="1"/>
  <c r="AH43" i="1"/>
  <c r="AR47" i="1"/>
  <c r="AT47" i="1" s="1"/>
  <c r="AU47" i="1" s="1"/>
  <c r="AR44" i="1"/>
  <c r="AT44" i="1" s="1"/>
  <c r="AU44" i="1" s="1"/>
  <c r="AH47" i="1"/>
  <c r="AY43" i="1"/>
  <c r="BG36" i="1"/>
  <c r="BH36" i="1" s="1"/>
  <c r="BJ36" i="1" s="1"/>
  <c r="AH37" i="1"/>
  <c r="AH39" i="1"/>
  <c r="AY33" i="1"/>
  <c r="AG33" i="1"/>
  <c r="AK33" i="1" s="1"/>
  <c r="BG50" i="1"/>
  <c r="BH50" i="1" s="1"/>
  <c r="BJ50" i="1" s="1"/>
  <c r="BG46" i="1"/>
  <c r="BH46" i="1" s="1"/>
  <c r="BI46" i="1" s="1"/>
  <c r="AR36" i="1"/>
  <c r="AT36" i="1" s="1"/>
  <c r="AU36" i="1" s="1"/>
  <c r="AK37" i="1"/>
  <c r="AK41" i="1"/>
  <c r="AH41" i="1"/>
  <c r="AR41" i="1"/>
  <c r="AT41" i="1" s="1"/>
  <c r="AU41" i="1" s="1"/>
  <c r="AR42" i="1"/>
  <c r="AT42" i="1" s="1"/>
  <c r="AU42" i="1" s="1"/>
  <c r="AK32" i="1"/>
  <c r="AH32" i="1"/>
  <c r="AR32" i="1"/>
  <c r="AT32" i="1" s="1"/>
  <c r="AU32" i="1" s="1"/>
  <c r="AY32" i="1"/>
  <c r="AR333" i="1"/>
  <c r="AT333" i="1" s="1"/>
  <c r="AU333" i="1" s="1"/>
  <c r="AK50" i="1"/>
  <c r="AH44" i="1"/>
  <c r="AH36" i="1"/>
  <c r="AY47" i="1"/>
  <c r="AY48" i="1"/>
  <c r="AY42" i="1"/>
  <c r="AY333" i="1"/>
  <c r="BG42" i="1"/>
  <c r="BH42" i="1" s="1"/>
  <c r="BG333" i="1"/>
  <c r="BH333" i="1" s="1"/>
  <c r="AY40" i="1"/>
  <c r="AG40" i="1"/>
  <c r="AY34" i="1"/>
  <c r="AR45" i="1"/>
  <c r="AT45" i="1" s="1"/>
  <c r="AU45" i="1" s="1"/>
  <c r="AK35" i="1"/>
  <c r="BG34" i="1"/>
  <c r="BH34" i="1" s="1"/>
  <c r="AG29" i="1"/>
  <c r="AK44" i="1"/>
  <c r="AY41" i="1"/>
  <c r="AK28" i="1"/>
  <c r="AH48" i="1"/>
  <c r="AK48" i="1"/>
  <c r="BJ45" i="1"/>
  <c r="BI45" i="1"/>
  <c r="AH42" i="1"/>
  <c r="AK42" i="1"/>
  <c r="AH333" i="1"/>
  <c r="AK333" i="1"/>
  <c r="AH34" i="1"/>
  <c r="AK34" i="1"/>
  <c r="AR34" i="1"/>
  <c r="AT34" i="1" s="1"/>
  <c r="AU34" i="1" s="1"/>
  <c r="BJ28" i="1"/>
  <c r="BI28" i="1"/>
  <c r="AH28" i="1"/>
  <c r="AG332" i="1"/>
  <c r="AR332" i="1" s="1"/>
  <c r="AT332" i="1" s="1"/>
  <c r="AU332" i="1" s="1"/>
  <c r="AR48" i="1"/>
  <c r="AT48" i="1" s="1"/>
  <c r="AU48" i="1" s="1"/>
  <c r="AY44" i="1"/>
  <c r="BG48" i="1"/>
  <c r="BH48" i="1" s="1"/>
  <c r="AH50" i="1"/>
  <c r="BJ47" i="1"/>
  <c r="BI47" i="1"/>
  <c r="AY45" i="1"/>
  <c r="AY36" i="1"/>
  <c r="AH35" i="1"/>
  <c r="AY50" i="1"/>
  <c r="BC146" i="1"/>
  <c r="BA163" i="1"/>
  <c r="BC165" i="1"/>
  <c r="BC159" i="1"/>
  <c r="AD167" i="1"/>
  <c r="AG167" i="1" s="1"/>
  <c r="BA165" i="1"/>
  <c r="BA174" i="1"/>
  <c r="BA167" i="1"/>
  <c r="BA161" i="1"/>
  <c r="BA175" i="1"/>
  <c r="BA154" i="1"/>
  <c r="AC174" i="1"/>
  <c r="AF174" i="1" s="1"/>
  <c r="BD175" i="1"/>
  <c r="BG175" i="1" s="1"/>
  <c r="BH175" i="1" s="1"/>
  <c r="BC176" i="1"/>
  <c r="AB159" i="1"/>
  <c r="AE159" i="1" s="1"/>
  <c r="BF172" i="1"/>
  <c r="AB167" i="1"/>
  <c r="AE167" i="1" s="1"/>
  <c r="BF167" i="1"/>
  <c r="AC159" i="1"/>
  <c r="AF159" i="1" s="1"/>
  <c r="AD146" i="1"/>
  <c r="AG146" i="1" s="1"/>
  <c r="BA146" i="1"/>
  <c r="BA171" i="1"/>
  <c r="AC172" i="1"/>
  <c r="AF172" i="1" s="1"/>
  <c r="BC172" i="1"/>
  <c r="BC173" i="1"/>
  <c r="BC167" i="1"/>
  <c r="BA159" i="1"/>
  <c r="BD161" i="1"/>
  <c r="BG161" i="1" s="1"/>
  <c r="BH161" i="1" s="1"/>
  <c r="BA153" i="1"/>
  <c r="AD172" i="1"/>
  <c r="AG172" i="1" s="1"/>
  <c r="BC174" i="1"/>
  <c r="AD179" i="1"/>
  <c r="AG179" i="1" s="1"/>
  <c r="BA179" i="1"/>
  <c r="AD173" i="1"/>
  <c r="AG173" i="1" s="1"/>
  <c r="BA173" i="1"/>
  <c r="BA176" i="1"/>
  <c r="BC163" i="1"/>
  <c r="BC161" i="1"/>
  <c r="BF171" i="1"/>
  <c r="AF167" i="1"/>
  <c r="AB165" i="1"/>
  <c r="AE165" i="1" s="1"/>
  <c r="BD153" i="1"/>
  <c r="BG153" i="1" s="1"/>
  <c r="BH153" i="1" s="1"/>
  <c r="AD171" i="1"/>
  <c r="AG171" i="1" s="1"/>
  <c r="BC175" i="1"/>
  <c r="BD179" i="1"/>
  <c r="AE172" i="1"/>
  <c r="BD146" i="1"/>
  <c r="BG146" i="1" s="1"/>
  <c r="BH146" i="1" s="1"/>
  <c r="BD167" i="1"/>
  <c r="AB161" i="1"/>
  <c r="AE161" i="1" s="1"/>
  <c r="BD154" i="1"/>
  <c r="BG154" i="1" s="1"/>
  <c r="BH154" i="1" s="1"/>
  <c r="BJ154" i="1" s="1"/>
  <c r="AB146" i="1"/>
  <c r="AE146" i="1" s="1"/>
  <c r="AB163" i="1"/>
  <c r="AE163" i="1" s="1"/>
  <c r="BC153" i="1"/>
  <c r="BD171" i="1"/>
  <c r="BA172" i="1"/>
  <c r="AF179" i="1"/>
  <c r="BC179" i="1"/>
  <c r="AB173" i="1"/>
  <c r="AE173" i="1" s="1"/>
  <c r="AB176" i="1"/>
  <c r="AE176" i="1" s="1"/>
  <c r="BD176" i="1"/>
  <c r="BG176" i="1" s="1"/>
  <c r="BH176" i="1" s="1"/>
  <c r="BC154" i="1"/>
  <c r="AC146" i="1"/>
  <c r="AF146" i="1" s="1"/>
  <c r="AC163" i="1"/>
  <c r="AF163" i="1" s="1"/>
  <c r="BD165" i="1"/>
  <c r="BG165" i="1" s="1"/>
  <c r="BH165" i="1" s="1"/>
  <c r="AB174" i="1"/>
  <c r="AE174" i="1" s="1"/>
  <c r="BD174" i="1"/>
  <c r="BG174" i="1" s="1"/>
  <c r="BH174" i="1" s="1"/>
  <c r="BF179" i="1"/>
  <c r="AC173" i="1"/>
  <c r="AF173" i="1" s="1"/>
  <c r="AC176" i="1"/>
  <c r="AF176" i="1" s="1"/>
  <c r="AF171" i="1"/>
  <c r="BC171" i="1"/>
  <c r="BD172" i="1"/>
  <c r="BD173" i="1"/>
  <c r="BG173" i="1" s="1"/>
  <c r="BH173" i="1" s="1"/>
  <c r="AB175" i="1"/>
  <c r="AE175" i="1" s="1"/>
  <c r="AB171" i="1"/>
  <c r="AE171" i="1" s="1"/>
  <c r="AD174" i="1"/>
  <c r="AC175" i="1"/>
  <c r="AF175" i="1" s="1"/>
  <c r="AB179" i="1"/>
  <c r="AE179" i="1" s="1"/>
  <c r="AD176" i="1"/>
  <c r="AD175" i="1"/>
  <c r="AG175" i="1" s="1"/>
  <c r="AD159" i="1"/>
  <c r="AG159" i="1" s="1"/>
  <c r="AC161" i="1"/>
  <c r="AF161" i="1" s="1"/>
  <c r="AB154" i="1"/>
  <c r="AE154" i="1" s="1"/>
  <c r="AD163" i="1"/>
  <c r="AG163" i="1" s="1"/>
  <c r="AC165" i="1"/>
  <c r="AF165" i="1" s="1"/>
  <c r="AB153" i="1"/>
  <c r="AE153" i="1" s="1"/>
  <c r="BD163" i="1"/>
  <c r="BG163" i="1" s="1"/>
  <c r="BH163" i="1" s="1"/>
  <c r="AD161" i="1"/>
  <c r="AG161" i="1" s="1"/>
  <c r="AC154" i="1"/>
  <c r="AF154" i="1" s="1"/>
  <c r="AD165" i="1"/>
  <c r="AC153" i="1"/>
  <c r="AF153" i="1" s="1"/>
  <c r="BD159" i="1"/>
  <c r="BG159" i="1" s="1"/>
  <c r="BH159" i="1" s="1"/>
  <c r="AD154" i="1"/>
  <c r="AG154" i="1" s="1"/>
  <c r="AD153" i="1"/>
  <c r="AG153" i="1" s="1"/>
  <c r="BI40" i="1" l="1"/>
  <c r="BJ35" i="1"/>
  <c r="BJ39" i="1"/>
  <c r="BJ41" i="1"/>
  <c r="BI32" i="1"/>
  <c r="BI37" i="1"/>
  <c r="BJ44" i="1"/>
  <c r="BI43" i="1"/>
  <c r="BI33" i="1"/>
  <c r="BJ49" i="1"/>
  <c r="BI29" i="1"/>
  <c r="AK38" i="1"/>
  <c r="AH38" i="1"/>
  <c r="AR33" i="1"/>
  <c r="AT33" i="1" s="1"/>
  <c r="AU33" i="1" s="1"/>
  <c r="AH33" i="1"/>
  <c r="AK46" i="1"/>
  <c r="BI36" i="1"/>
  <c r="BJ38" i="1"/>
  <c r="AR46" i="1"/>
  <c r="AT46" i="1" s="1"/>
  <c r="AU46" i="1" s="1"/>
  <c r="BJ46" i="1"/>
  <c r="BI50" i="1"/>
  <c r="AK29" i="1"/>
  <c r="AR29" i="1"/>
  <c r="AT29" i="1" s="1"/>
  <c r="AU29" i="1" s="1"/>
  <c r="AH29" i="1"/>
  <c r="BJ42" i="1"/>
  <c r="BI42" i="1"/>
  <c r="BJ48" i="1"/>
  <c r="BI48" i="1"/>
  <c r="AK332" i="1"/>
  <c r="BJ34" i="1"/>
  <c r="BI34" i="1"/>
  <c r="AK40" i="1"/>
  <c r="AH40" i="1"/>
  <c r="AR40" i="1"/>
  <c r="AT40" i="1" s="1"/>
  <c r="AU40" i="1" s="1"/>
  <c r="AH332" i="1"/>
  <c r="BJ333" i="1"/>
  <c r="BI333" i="1"/>
  <c r="BG179" i="1"/>
  <c r="BH179" i="1" s="1"/>
  <c r="BJ179" i="1" s="1"/>
  <c r="BG167" i="1"/>
  <c r="BH167" i="1" s="1"/>
  <c r="BI167" i="1" s="1"/>
  <c r="AR172" i="1"/>
  <c r="AT172" i="1" s="1"/>
  <c r="AU172" i="1" s="1"/>
  <c r="AR167" i="1"/>
  <c r="AT167" i="1" s="1"/>
  <c r="AU167" i="1" s="1"/>
  <c r="BG171" i="1"/>
  <c r="BH171" i="1" s="1"/>
  <c r="BJ171" i="1" s="1"/>
  <c r="BI174" i="1"/>
  <c r="BJ174" i="1"/>
  <c r="BI153" i="1"/>
  <c r="BJ153" i="1"/>
  <c r="BJ176" i="1"/>
  <c r="BI176" i="1"/>
  <c r="AR159" i="1"/>
  <c r="AT159" i="1" s="1"/>
  <c r="AU159" i="1" s="1"/>
  <c r="BG172" i="1"/>
  <c r="BH172" i="1" s="1"/>
  <c r="BI172" i="1" s="1"/>
  <c r="AH172" i="1"/>
  <c r="AH146" i="1"/>
  <c r="AK146" i="1"/>
  <c r="AK173" i="1"/>
  <c r="AY173" i="1"/>
  <c r="AR173" i="1"/>
  <c r="AT173" i="1" s="1"/>
  <c r="AU173" i="1" s="1"/>
  <c r="AH173" i="1"/>
  <c r="BI146" i="1"/>
  <c r="BJ146" i="1"/>
  <c r="AY146" i="1"/>
  <c r="AY172" i="1"/>
  <c r="AK172" i="1"/>
  <c r="AY165" i="1"/>
  <c r="AY167" i="1"/>
  <c r="AK163" i="1"/>
  <c r="AR146" i="1"/>
  <c r="AT146" i="1" s="1"/>
  <c r="AU146" i="1" s="1"/>
  <c r="AK167" i="1"/>
  <c r="BI154" i="1"/>
  <c r="AR171" i="1"/>
  <c r="AT171" i="1" s="1"/>
  <c r="AU171" i="1" s="1"/>
  <c r="AR161" i="1"/>
  <c r="AT161" i="1" s="1"/>
  <c r="AU161" i="1" s="1"/>
  <c r="AH167" i="1"/>
  <c r="AY159" i="1"/>
  <c r="AR175" i="1"/>
  <c r="AT175" i="1" s="1"/>
  <c r="AU175" i="1" s="1"/>
  <c r="BJ173" i="1"/>
  <c r="BI173" i="1"/>
  <c r="AK179" i="1"/>
  <c r="AH179" i="1"/>
  <c r="BJ175" i="1"/>
  <c r="BI175" i="1"/>
  <c r="AG176" i="1"/>
  <c r="AY176" i="1"/>
  <c r="AY174" i="1"/>
  <c r="AG174" i="1"/>
  <c r="AY175" i="1"/>
  <c r="AH171" i="1"/>
  <c r="AK171" i="1"/>
  <c r="AH175" i="1"/>
  <c r="AK175" i="1"/>
  <c r="AY179" i="1"/>
  <c r="AY171" i="1"/>
  <c r="AR179" i="1"/>
  <c r="AT179" i="1" s="1"/>
  <c r="AU179" i="1" s="1"/>
  <c r="BJ163" i="1"/>
  <c r="BI163" i="1"/>
  <c r="BI159" i="1"/>
  <c r="BJ159" i="1"/>
  <c r="AH161" i="1"/>
  <c r="AY163" i="1"/>
  <c r="BJ161" i="1"/>
  <c r="BI161" i="1"/>
  <c r="BJ165" i="1"/>
  <c r="BI165" i="1"/>
  <c r="AH159" i="1"/>
  <c r="AY153" i="1"/>
  <c r="AY154" i="1"/>
  <c r="AK161" i="1"/>
  <c r="AH163" i="1"/>
  <c r="AK159" i="1"/>
  <c r="AG165" i="1"/>
  <c r="AH165" i="1" s="1"/>
  <c r="AY161" i="1"/>
  <c r="AH153" i="1"/>
  <c r="AK153" i="1"/>
  <c r="AH154" i="1"/>
  <c r="AK154" i="1"/>
  <c r="AR163" i="1"/>
  <c r="AT163" i="1" s="1"/>
  <c r="AU163" i="1" s="1"/>
  <c r="AR154" i="1"/>
  <c r="AT154" i="1" s="1"/>
  <c r="AU154" i="1" s="1"/>
  <c r="AR153" i="1"/>
  <c r="AT153" i="1" s="1"/>
  <c r="AU153" i="1" s="1"/>
  <c r="BI179" i="1" l="1"/>
  <c r="BJ167" i="1"/>
  <c r="BI171" i="1"/>
  <c r="BJ172" i="1"/>
  <c r="AR174" i="1"/>
  <c r="AT174" i="1" s="1"/>
  <c r="AU174" i="1" s="1"/>
  <c r="AH174" i="1"/>
  <c r="AK174" i="1"/>
  <c r="AR176" i="1"/>
  <c r="AT176" i="1" s="1"/>
  <c r="AU176" i="1" s="1"/>
  <c r="AK176" i="1"/>
  <c r="AH176" i="1"/>
  <c r="AK165" i="1"/>
  <c r="AR165" i="1"/>
  <c r="AT165" i="1" s="1"/>
  <c r="AU165" i="1" s="1"/>
  <c r="BB22" i="1" l="1"/>
  <c r="AZ22" i="1"/>
  <c r="AX22" i="1"/>
  <c r="AW22" i="1"/>
  <c r="AV22" i="1"/>
  <c r="AS22" i="1"/>
  <c r="AM22" i="1"/>
  <c r="AO22" i="1" s="1"/>
  <c r="AL22" i="1"/>
  <c r="AJ22" i="1"/>
  <c r="AA22" i="1"/>
  <c r="Z22" i="1"/>
  <c r="Y22" i="1"/>
  <c r="P22" i="1"/>
  <c r="AQ22" i="1" s="1"/>
  <c r="O22" i="1"/>
  <c r="F22" i="1"/>
  <c r="BB143" i="1"/>
  <c r="AZ143" i="1"/>
  <c r="AX143" i="1"/>
  <c r="AW143" i="1"/>
  <c r="AV143" i="1"/>
  <c r="AS143" i="1"/>
  <c r="AM143" i="1"/>
  <c r="AO143" i="1" s="1"/>
  <c r="AL143" i="1"/>
  <c r="AJ143" i="1"/>
  <c r="AA143" i="1"/>
  <c r="Z143" i="1"/>
  <c r="Y143" i="1"/>
  <c r="P143" i="1"/>
  <c r="AQ143" i="1" s="1"/>
  <c r="O143" i="1"/>
  <c r="BF143" i="1" s="1"/>
  <c r="F143" i="1"/>
  <c r="BB138" i="1"/>
  <c r="AZ138" i="1"/>
  <c r="AX138" i="1"/>
  <c r="AW138" i="1"/>
  <c r="AV138" i="1"/>
  <c r="AS138" i="1"/>
  <c r="AM138" i="1"/>
  <c r="AO138" i="1" s="1"/>
  <c r="AL138" i="1"/>
  <c r="AJ138" i="1"/>
  <c r="AA138" i="1"/>
  <c r="Z138" i="1"/>
  <c r="Y138" i="1"/>
  <c r="P138" i="1"/>
  <c r="AQ138" i="1" s="1"/>
  <c r="O138" i="1"/>
  <c r="BF138" i="1" s="1"/>
  <c r="F138" i="1"/>
  <c r="BB136" i="1"/>
  <c r="AZ136" i="1"/>
  <c r="AX136" i="1"/>
  <c r="AW136" i="1"/>
  <c r="AV136" i="1"/>
  <c r="AS136" i="1"/>
  <c r="AM136" i="1"/>
  <c r="AO136" i="1" s="1"/>
  <c r="AL136" i="1"/>
  <c r="AJ136" i="1"/>
  <c r="AA136" i="1"/>
  <c r="Z136" i="1"/>
  <c r="Y136" i="1"/>
  <c r="P136" i="1"/>
  <c r="AQ136" i="1" s="1"/>
  <c r="O136" i="1"/>
  <c r="AC136" i="1" s="1"/>
  <c r="F136" i="1"/>
  <c r="BB141" i="1"/>
  <c r="AZ141" i="1"/>
  <c r="AX141" i="1"/>
  <c r="AW141" i="1"/>
  <c r="AV141" i="1"/>
  <c r="AS141" i="1"/>
  <c r="AM141" i="1"/>
  <c r="AO141" i="1" s="1"/>
  <c r="AL141" i="1"/>
  <c r="AJ141" i="1"/>
  <c r="AA141" i="1"/>
  <c r="Z141" i="1"/>
  <c r="Y141" i="1"/>
  <c r="P141" i="1"/>
  <c r="AQ141" i="1" s="1"/>
  <c r="O141" i="1"/>
  <c r="AD141" i="1" s="1"/>
  <c r="F141" i="1"/>
  <c r="BB70" i="1"/>
  <c r="AZ70" i="1"/>
  <c r="AX70" i="1"/>
  <c r="AW70" i="1"/>
  <c r="AV70" i="1"/>
  <c r="AS70" i="1"/>
  <c r="AM70" i="1"/>
  <c r="AO70" i="1" s="1"/>
  <c r="AL70" i="1"/>
  <c r="AJ70" i="1"/>
  <c r="AA70" i="1"/>
  <c r="Z70" i="1"/>
  <c r="Y70" i="1"/>
  <c r="P70" i="1"/>
  <c r="AQ70" i="1" s="1"/>
  <c r="O70" i="1"/>
  <c r="AB70" i="1" s="1"/>
  <c r="F70" i="1"/>
  <c r="BB76" i="1"/>
  <c r="AZ76" i="1"/>
  <c r="AX76" i="1"/>
  <c r="AW76" i="1"/>
  <c r="AV76" i="1"/>
  <c r="AS76" i="1"/>
  <c r="AM76" i="1"/>
  <c r="AO76" i="1" s="1"/>
  <c r="AL76" i="1"/>
  <c r="AJ76" i="1"/>
  <c r="AA76" i="1"/>
  <c r="Z76" i="1"/>
  <c r="Y76" i="1"/>
  <c r="P76" i="1"/>
  <c r="AQ76" i="1" s="1"/>
  <c r="O76" i="1"/>
  <c r="AC76" i="1" s="1"/>
  <c r="F76" i="1"/>
  <c r="BB71" i="1"/>
  <c r="AZ71" i="1"/>
  <c r="AX71" i="1"/>
  <c r="AW71" i="1"/>
  <c r="AV71" i="1"/>
  <c r="AS71" i="1"/>
  <c r="AM71" i="1"/>
  <c r="AO71" i="1" s="1"/>
  <c r="AL71" i="1"/>
  <c r="AJ71" i="1"/>
  <c r="AA71" i="1"/>
  <c r="Z71" i="1"/>
  <c r="Y71" i="1"/>
  <c r="P71" i="1"/>
  <c r="AQ71" i="1" s="1"/>
  <c r="O71" i="1"/>
  <c r="AB71" i="1" s="1"/>
  <c r="F71" i="1"/>
  <c r="BB68" i="1"/>
  <c r="AZ68" i="1"/>
  <c r="AX68" i="1"/>
  <c r="AW68" i="1"/>
  <c r="AV68" i="1"/>
  <c r="AS68" i="1"/>
  <c r="AM68" i="1"/>
  <c r="AO68" i="1" s="1"/>
  <c r="AL68" i="1"/>
  <c r="AJ68" i="1"/>
  <c r="AA68" i="1"/>
  <c r="Z68" i="1"/>
  <c r="Y68" i="1"/>
  <c r="P68" i="1"/>
  <c r="AQ68" i="1" s="1"/>
  <c r="O68" i="1"/>
  <c r="AD68" i="1" s="1"/>
  <c r="F68" i="1"/>
  <c r="BB73" i="1"/>
  <c r="AZ73" i="1"/>
  <c r="AX73" i="1"/>
  <c r="AW73" i="1"/>
  <c r="AV73" i="1"/>
  <c r="AS73" i="1"/>
  <c r="AM73" i="1"/>
  <c r="AO73" i="1" s="1"/>
  <c r="AL73" i="1"/>
  <c r="AJ73" i="1"/>
  <c r="AA73" i="1"/>
  <c r="Z73" i="1"/>
  <c r="Y73" i="1"/>
  <c r="P73" i="1"/>
  <c r="AQ73" i="1" s="1"/>
  <c r="O73" i="1"/>
  <c r="F73" i="1"/>
  <c r="BB74" i="1"/>
  <c r="AZ74" i="1"/>
  <c r="AX74" i="1"/>
  <c r="AW74" i="1"/>
  <c r="AV74" i="1"/>
  <c r="AS74" i="1"/>
  <c r="AM74" i="1"/>
  <c r="AO74" i="1" s="1"/>
  <c r="AL74" i="1"/>
  <c r="AJ74" i="1"/>
  <c r="AA74" i="1"/>
  <c r="Z74" i="1"/>
  <c r="Y74" i="1"/>
  <c r="P74" i="1"/>
  <c r="AQ74" i="1" s="1"/>
  <c r="O74" i="1"/>
  <c r="AC74" i="1" s="1"/>
  <c r="F74" i="1"/>
  <c r="BB69" i="1"/>
  <c r="AZ69" i="1"/>
  <c r="AX69" i="1"/>
  <c r="AW69" i="1"/>
  <c r="AV69" i="1"/>
  <c r="AS69" i="1"/>
  <c r="AM69" i="1"/>
  <c r="AO69" i="1" s="1"/>
  <c r="AL69" i="1"/>
  <c r="AJ69" i="1"/>
  <c r="AA69" i="1"/>
  <c r="Z69" i="1"/>
  <c r="Y69" i="1"/>
  <c r="P69" i="1"/>
  <c r="AQ69" i="1" s="1"/>
  <c r="O69" i="1"/>
  <c r="BF69" i="1" s="1"/>
  <c r="F69" i="1"/>
  <c r="BB75" i="1"/>
  <c r="AZ75" i="1"/>
  <c r="AX75" i="1"/>
  <c r="AW75" i="1"/>
  <c r="AV75" i="1"/>
  <c r="AS75" i="1"/>
  <c r="AM75" i="1"/>
  <c r="AO75" i="1" s="1"/>
  <c r="AL75" i="1"/>
  <c r="AJ75" i="1"/>
  <c r="AA75" i="1"/>
  <c r="Z75" i="1"/>
  <c r="Y75" i="1"/>
  <c r="P75" i="1"/>
  <c r="AQ75" i="1" s="1"/>
  <c r="O75" i="1"/>
  <c r="AD75" i="1" s="1"/>
  <c r="F75" i="1"/>
  <c r="BB135" i="1"/>
  <c r="AZ135" i="1"/>
  <c r="AX135" i="1"/>
  <c r="AW135" i="1"/>
  <c r="AV135" i="1"/>
  <c r="AS135" i="1"/>
  <c r="AM135" i="1"/>
  <c r="AO135" i="1" s="1"/>
  <c r="AL135" i="1"/>
  <c r="AJ135" i="1"/>
  <c r="AA135" i="1"/>
  <c r="Z135" i="1"/>
  <c r="Y135" i="1"/>
  <c r="P135" i="1"/>
  <c r="AQ135" i="1" s="1"/>
  <c r="O135" i="1"/>
  <c r="AB135" i="1" s="1"/>
  <c r="F135" i="1"/>
  <c r="BB187" i="1"/>
  <c r="AZ187" i="1"/>
  <c r="AX187" i="1"/>
  <c r="AW187" i="1"/>
  <c r="AV187" i="1"/>
  <c r="AS187" i="1"/>
  <c r="AM187" i="1"/>
  <c r="AO187" i="1" s="1"/>
  <c r="AL187" i="1"/>
  <c r="AJ187" i="1"/>
  <c r="AA187" i="1"/>
  <c r="Z187" i="1"/>
  <c r="Y187" i="1"/>
  <c r="P187" i="1"/>
  <c r="AQ187" i="1" s="1"/>
  <c r="O187" i="1"/>
  <c r="F187" i="1"/>
  <c r="BB323" i="1"/>
  <c r="AZ323" i="1"/>
  <c r="AX323" i="1"/>
  <c r="AW323" i="1"/>
  <c r="AV323" i="1"/>
  <c r="AS323" i="1"/>
  <c r="AM323" i="1"/>
  <c r="AO323" i="1" s="1"/>
  <c r="AL323" i="1"/>
  <c r="AJ323" i="1"/>
  <c r="AA323" i="1"/>
  <c r="Z323" i="1"/>
  <c r="Y323" i="1"/>
  <c r="P323" i="1"/>
  <c r="AQ323" i="1" s="1"/>
  <c r="O323" i="1"/>
  <c r="F323" i="1"/>
  <c r="BB280" i="1"/>
  <c r="AZ280" i="1"/>
  <c r="AX280" i="1"/>
  <c r="AW280" i="1"/>
  <c r="AV280" i="1"/>
  <c r="AS280" i="1"/>
  <c r="AM280" i="1"/>
  <c r="AO280" i="1" s="1"/>
  <c r="AL280" i="1"/>
  <c r="AJ280" i="1"/>
  <c r="AA280" i="1"/>
  <c r="Z280" i="1"/>
  <c r="Y280" i="1"/>
  <c r="P280" i="1"/>
  <c r="AQ280" i="1" s="1"/>
  <c r="O280" i="1"/>
  <c r="F280" i="1"/>
  <c r="BB253" i="1"/>
  <c r="AZ253" i="1"/>
  <c r="AX253" i="1"/>
  <c r="AW253" i="1"/>
  <c r="AV253" i="1"/>
  <c r="AS253" i="1"/>
  <c r="AM253" i="1"/>
  <c r="AO253" i="1" s="1"/>
  <c r="AL253" i="1"/>
  <c r="AJ253" i="1"/>
  <c r="AA253" i="1"/>
  <c r="Z253" i="1"/>
  <c r="Y253" i="1"/>
  <c r="P253" i="1"/>
  <c r="AQ253" i="1" s="1"/>
  <c r="O253" i="1"/>
  <c r="BF253" i="1" s="1"/>
  <c r="F253" i="1"/>
  <c r="BB212" i="1"/>
  <c r="AZ212" i="1"/>
  <c r="AX212" i="1"/>
  <c r="AW212" i="1"/>
  <c r="AV212" i="1"/>
  <c r="AS212" i="1"/>
  <c r="AM212" i="1"/>
  <c r="AO212" i="1" s="1"/>
  <c r="AL212" i="1"/>
  <c r="AJ212" i="1"/>
  <c r="AA212" i="1"/>
  <c r="Z212" i="1"/>
  <c r="Y212" i="1"/>
  <c r="P212" i="1"/>
  <c r="AQ212" i="1" s="1"/>
  <c r="O212" i="1"/>
  <c r="AD212" i="1" s="1"/>
  <c r="AG212" i="1" s="1"/>
  <c r="F212" i="1"/>
  <c r="BB148" i="1"/>
  <c r="AZ148" i="1"/>
  <c r="AX148" i="1"/>
  <c r="AW148" i="1"/>
  <c r="AV148" i="1"/>
  <c r="AS148" i="1"/>
  <c r="AM148" i="1"/>
  <c r="AO148" i="1" s="1"/>
  <c r="AL148" i="1"/>
  <c r="AJ148" i="1"/>
  <c r="AA148" i="1"/>
  <c r="Z148" i="1"/>
  <c r="Y148" i="1"/>
  <c r="P148" i="1"/>
  <c r="AQ148" i="1" s="1"/>
  <c r="O148" i="1"/>
  <c r="F148" i="1"/>
  <c r="BB128" i="1"/>
  <c r="AZ128" i="1"/>
  <c r="AX128" i="1"/>
  <c r="AW128" i="1"/>
  <c r="AV128" i="1"/>
  <c r="AS128" i="1"/>
  <c r="AM128" i="1"/>
  <c r="AO128" i="1" s="1"/>
  <c r="AL128" i="1"/>
  <c r="AJ128" i="1"/>
  <c r="AA128" i="1"/>
  <c r="Z128" i="1"/>
  <c r="Y128" i="1"/>
  <c r="P128" i="1"/>
  <c r="AQ128" i="1" s="1"/>
  <c r="O128" i="1"/>
  <c r="AC128" i="1" s="1"/>
  <c r="F128" i="1"/>
  <c r="BB107" i="1"/>
  <c r="AZ107" i="1"/>
  <c r="AX107" i="1"/>
  <c r="AW107" i="1"/>
  <c r="AV107" i="1"/>
  <c r="AS107" i="1"/>
  <c r="AM107" i="1"/>
  <c r="AO107" i="1" s="1"/>
  <c r="AL107" i="1"/>
  <c r="AJ107" i="1"/>
  <c r="AA107" i="1"/>
  <c r="Z107" i="1"/>
  <c r="Y107" i="1"/>
  <c r="P107" i="1"/>
  <c r="AQ107" i="1" s="1"/>
  <c r="O107" i="1"/>
  <c r="F107" i="1"/>
  <c r="BB80" i="1"/>
  <c r="AZ80" i="1"/>
  <c r="AX80" i="1"/>
  <c r="AW80" i="1"/>
  <c r="AV80" i="1"/>
  <c r="AS80" i="1"/>
  <c r="AM80" i="1"/>
  <c r="AO80" i="1" s="1"/>
  <c r="AL80" i="1"/>
  <c r="AJ80" i="1"/>
  <c r="AA80" i="1"/>
  <c r="Z80" i="1"/>
  <c r="Y80" i="1"/>
  <c r="P80" i="1"/>
  <c r="AQ80" i="1" s="1"/>
  <c r="O80" i="1"/>
  <c r="BF80" i="1" s="1"/>
  <c r="F80" i="1"/>
  <c r="BB54" i="1"/>
  <c r="AZ54" i="1"/>
  <c r="AX54" i="1"/>
  <c r="AW54" i="1"/>
  <c r="AV54" i="1"/>
  <c r="AS54" i="1"/>
  <c r="AM54" i="1"/>
  <c r="AO54" i="1" s="1"/>
  <c r="AL54" i="1"/>
  <c r="AJ54" i="1"/>
  <c r="AA54" i="1"/>
  <c r="Z54" i="1"/>
  <c r="Y54" i="1"/>
  <c r="P54" i="1"/>
  <c r="AQ54" i="1" s="1"/>
  <c r="O54" i="1"/>
  <c r="F54" i="1"/>
  <c r="BB10" i="1"/>
  <c r="AZ10" i="1"/>
  <c r="AX10" i="1"/>
  <c r="AW10" i="1"/>
  <c r="AV10" i="1"/>
  <c r="AS10" i="1"/>
  <c r="AM10" i="1"/>
  <c r="AO10" i="1" s="1"/>
  <c r="AL10" i="1"/>
  <c r="AJ10" i="1"/>
  <c r="AA10" i="1"/>
  <c r="Z10" i="1"/>
  <c r="Y10" i="1"/>
  <c r="P10" i="1"/>
  <c r="AQ10" i="1" s="1"/>
  <c r="O10" i="1"/>
  <c r="F10" i="1"/>
  <c r="BB196" i="1"/>
  <c r="AZ196" i="1"/>
  <c r="AX196" i="1"/>
  <c r="AW196" i="1"/>
  <c r="AV196" i="1"/>
  <c r="AS196" i="1"/>
  <c r="AM196" i="1"/>
  <c r="AO196" i="1" s="1"/>
  <c r="AL196" i="1"/>
  <c r="AJ196" i="1"/>
  <c r="AA196" i="1"/>
  <c r="Z196" i="1"/>
  <c r="Y196" i="1"/>
  <c r="P196" i="1"/>
  <c r="AQ196" i="1" s="1"/>
  <c r="O196" i="1"/>
  <c r="F196" i="1"/>
  <c r="BB322" i="1"/>
  <c r="AZ322" i="1"/>
  <c r="AW322" i="1"/>
  <c r="AV322" i="1"/>
  <c r="AS322" i="1"/>
  <c r="AM322" i="1"/>
  <c r="AO322" i="1" s="1"/>
  <c r="AL322" i="1"/>
  <c r="AJ322" i="1"/>
  <c r="AA322" i="1"/>
  <c r="Z322" i="1"/>
  <c r="Y322" i="1"/>
  <c r="P322" i="1"/>
  <c r="AQ322" i="1" s="1"/>
  <c r="O322" i="1"/>
  <c r="F322" i="1"/>
  <c r="BB321" i="1"/>
  <c r="AZ321" i="1"/>
  <c r="AW321" i="1"/>
  <c r="AV321" i="1"/>
  <c r="AS321" i="1"/>
  <c r="AM321" i="1"/>
  <c r="AO321" i="1" s="1"/>
  <c r="AJ321" i="1"/>
  <c r="AA321" i="1"/>
  <c r="Z321" i="1"/>
  <c r="Y321" i="1"/>
  <c r="P321" i="1"/>
  <c r="AQ321" i="1" s="1"/>
  <c r="O321" i="1"/>
  <c r="AC321" i="1" s="1"/>
  <c r="F321" i="1"/>
  <c r="BB132" i="1"/>
  <c r="AZ132" i="1"/>
  <c r="AW132" i="1"/>
  <c r="AV132" i="1"/>
  <c r="AS132" i="1"/>
  <c r="AM132" i="1"/>
  <c r="AO132" i="1" s="1"/>
  <c r="AL132" i="1"/>
  <c r="AJ132" i="1"/>
  <c r="AA132" i="1"/>
  <c r="Z132" i="1"/>
  <c r="Y132" i="1"/>
  <c r="P132" i="1"/>
  <c r="AQ132" i="1" s="1"/>
  <c r="O132" i="1"/>
  <c r="AX132" i="1" s="1"/>
  <c r="F132" i="1"/>
  <c r="BB320" i="1"/>
  <c r="AZ320" i="1"/>
  <c r="AW320" i="1"/>
  <c r="AV320" i="1"/>
  <c r="AS320" i="1"/>
  <c r="AM320" i="1"/>
  <c r="AO320" i="1" s="1"/>
  <c r="AL320" i="1"/>
  <c r="AJ320" i="1"/>
  <c r="AA320" i="1"/>
  <c r="Z320" i="1"/>
  <c r="Y320" i="1"/>
  <c r="P320" i="1"/>
  <c r="AQ320" i="1" s="1"/>
  <c r="O320" i="1"/>
  <c r="AX320" i="1" s="1"/>
  <c r="F320" i="1"/>
  <c r="BB319" i="1"/>
  <c r="AZ319" i="1"/>
  <c r="AW319" i="1"/>
  <c r="AV319" i="1"/>
  <c r="AS319" i="1"/>
  <c r="AM319" i="1"/>
  <c r="AO319" i="1" s="1"/>
  <c r="AL319" i="1"/>
  <c r="AJ319" i="1"/>
  <c r="AA319" i="1"/>
  <c r="Z319" i="1"/>
  <c r="Y319" i="1"/>
  <c r="P319" i="1"/>
  <c r="AQ319" i="1" s="1"/>
  <c r="O319" i="1"/>
  <c r="F319" i="1"/>
  <c r="BB318" i="1"/>
  <c r="AZ318" i="1"/>
  <c r="AW318" i="1"/>
  <c r="AV318" i="1"/>
  <c r="AS318" i="1"/>
  <c r="AM318" i="1"/>
  <c r="AO318" i="1" s="1"/>
  <c r="AL318" i="1"/>
  <c r="AJ318" i="1"/>
  <c r="AA318" i="1"/>
  <c r="Z318" i="1"/>
  <c r="Y318" i="1"/>
  <c r="P318" i="1"/>
  <c r="AQ318" i="1" s="1"/>
  <c r="O318" i="1"/>
  <c r="AC318" i="1" s="1"/>
  <c r="F318" i="1"/>
  <c r="BB317" i="1"/>
  <c r="AZ317" i="1"/>
  <c r="AW317" i="1"/>
  <c r="AV317" i="1"/>
  <c r="AS317" i="1"/>
  <c r="AM317" i="1"/>
  <c r="AO317" i="1" s="1"/>
  <c r="AL317" i="1"/>
  <c r="AJ317" i="1"/>
  <c r="AA317" i="1"/>
  <c r="Z317" i="1"/>
  <c r="Y317" i="1"/>
  <c r="P317" i="1"/>
  <c r="AQ317" i="1" s="1"/>
  <c r="O317" i="1"/>
  <c r="AX317" i="1" s="1"/>
  <c r="F317" i="1"/>
  <c r="BB316" i="1"/>
  <c r="AZ316" i="1"/>
  <c r="AW316" i="1"/>
  <c r="AV316" i="1"/>
  <c r="AS316" i="1"/>
  <c r="AM316" i="1"/>
  <c r="AO316" i="1" s="1"/>
  <c r="AL316" i="1"/>
  <c r="AJ316" i="1"/>
  <c r="AA316" i="1"/>
  <c r="Z316" i="1"/>
  <c r="Y316" i="1"/>
  <c r="P316" i="1"/>
  <c r="AQ316" i="1" s="1"/>
  <c r="O316" i="1"/>
  <c r="AX316" i="1" s="1"/>
  <c r="F316" i="1"/>
  <c r="BB315" i="1"/>
  <c r="AZ315" i="1"/>
  <c r="AW315" i="1"/>
  <c r="AV315" i="1"/>
  <c r="AS315" i="1"/>
  <c r="AM315" i="1"/>
  <c r="AO315" i="1" s="1"/>
  <c r="AL315" i="1"/>
  <c r="AJ315" i="1"/>
  <c r="AA315" i="1"/>
  <c r="Z315" i="1"/>
  <c r="Y315" i="1"/>
  <c r="P315" i="1"/>
  <c r="AQ315" i="1" s="1"/>
  <c r="O315" i="1"/>
  <c r="AB315" i="1" s="1"/>
  <c r="F315" i="1"/>
  <c r="BB314" i="1"/>
  <c r="AZ314" i="1"/>
  <c r="AW314" i="1"/>
  <c r="AV314" i="1"/>
  <c r="AS314" i="1"/>
  <c r="AM314" i="1"/>
  <c r="AO314" i="1" s="1"/>
  <c r="AL314" i="1"/>
  <c r="AJ314" i="1"/>
  <c r="AA314" i="1"/>
  <c r="Z314" i="1"/>
  <c r="Y314" i="1"/>
  <c r="P314" i="1"/>
  <c r="AQ314" i="1" s="1"/>
  <c r="O314" i="1"/>
  <c r="BF314" i="1" s="1"/>
  <c r="F314" i="1"/>
  <c r="BB326" i="1"/>
  <c r="AZ326" i="1"/>
  <c r="AW326" i="1"/>
  <c r="AV326" i="1"/>
  <c r="AS326" i="1"/>
  <c r="AM326" i="1"/>
  <c r="AO326" i="1" s="1"/>
  <c r="AL326" i="1"/>
  <c r="AJ326" i="1"/>
  <c r="AA326" i="1"/>
  <c r="Z326" i="1"/>
  <c r="Y326" i="1"/>
  <c r="P326" i="1"/>
  <c r="AQ326" i="1" s="1"/>
  <c r="O326" i="1"/>
  <c r="BF326" i="1" s="1"/>
  <c r="F326" i="1"/>
  <c r="BB313" i="1"/>
  <c r="AZ313" i="1"/>
  <c r="AW313" i="1"/>
  <c r="AV313" i="1"/>
  <c r="AS313" i="1"/>
  <c r="AM313" i="1"/>
  <c r="AO313" i="1" s="1"/>
  <c r="AL313" i="1"/>
  <c r="AJ313" i="1"/>
  <c r="AA313" i="1"/>
  <c r="Z313" i="1"/>
  <c r="Y313" i="1"/>
  <c r="P313" i="1"/>
  <c r="AQ313" i="1" s="1"/>
  <c r="O313" i="1"/>
  <c r="AB313" i="1" s="1"/>
  <c r="F313" i="1"/>
  <c r="BB312" i="1"/>
  <c r="AZ312" i="1"/>
  <c r="AW312" i="1"/>
  <c r="AV312" i="1"/>
  <c r="AS312" i="1"/>
  <c r="AM312" i="1"/>
  <c r="AO312" i="1" s="1"/>
  <c r="AL312" i="1"/>
  <c r="AJ312" i="1"/>
  <c r="AA312" i="1"/>
  <c r="Z312" i="1"/>
  <c r="Y312" i="1"/>
  <c r="P312" i="1"/>
  <c r="AQ312" i="1" s="1"/>
  <c r="O312" i="1"/>
  <c r="F312" i="1"/>
  <c r="BB311" i="1"/>
  <c r="AZ311" i="1"/>
  <c r="AW311" i="1"/>
  <c r="AV311" i="1"/>
  <c r="AS311" i="1"/>
  <c r="AM311" i="1"/>
  <c r="AO311" i="1" s="1"/>
  <c r="AL311" i="1"/>
  <c r="AJ311" i="1"/>
  <c r="AA311" i="1"/>
  <c r="Z311" i="1"/>
  <c r="Y311" i="1"/>
  <c r="P311" i="1"/>
  <c r="AQ311" i="1" s="1"/>
  <c r="O311" i="1"/>
  <c r="BF311" i="1" s="1"/>
  <c r="F311" i="1"/>
  <c r="BB310" i="1"/>
  <c r="AZ310" i="1"/>
  <c r="AW310" i="1"/>
  <c r="AV310" i="1"/>
  <c r="AS310" i="1"/>
  <c r="AM310" i="1"/>
  <c r="AO310" i="1" s="1"/>
  <c r="AL310" i="1"/>
  <c r="AJ310" i="1"/>
  <c r="AA310" i="1"/>
  <c r="Z310" i="1"/>
  <c r="Y310" i="1"/>
  <c r="P310" i="1"/>
  <c r="AQ310" i="1" s="1"/>
  <c r="O310" i="1"/>
  <c r="F310" i="1"/>
  <c r="BB129" i="1"/>
  <c r="AZ129" i="1"/>
  <c r="AW129" i="1"/>
  <c r="AV129" i="1"/>
  <c r="AS129" i="1"/>
  <c r="AM129" i="1"/>
  <c r="AO129" i="1" s="1"/>
  <c r="AL129" i="1"/>
  <c r="AJ129" i="1"/>
  <c r="AA129" i="1"/>
  <c r="Z129" i="1"/>
  <c r="Y129" i="1"/>
  <c r="P129" i="1"/>
  <c r="AQ129" i="1" s="1"/>
  <c r="O129" i="1"/>
  <c r="AX129" i="1" s="1"/>
  <c r="F129" i="1"/>
  <c r="BB309" i="1"/>
  <c r="AZ309" i="1"/>
  <c r="AW309" i="1"/>
  <c r="AV309" i="1"/>
  <c r="AS309" i="1"/>
  <c r="AM309" i="1"/>
  <c r="AO309" i="1" s="1"/>
  <c r="AL309" i="1"/>
  <c r="AJ309" i="1"/>
  <c r="AA309" i="1"/>
  <c r="Z309" i="1"/>
  <c r="Y309" i="1"/>
  <c r="P309" i="1"/>
  <c r="AQ309" i="1" s="1"/>
  <c r="O309" i="1"/>
  <c r="AX309" i="1" s="1"/>
  <c r="F309" i="1"/>
  <c r="BB330" i="1"/>
  <c r="AZ330" i="1"/>
  <c r="AW330" i="1"/>
  <c r="AV330" i="1"/>
  <c r="AS330" i="1"/>
  <c r="AM330" i="1"/>
  <c r="AO330" i="1" s="1"/>
  <c r="AL330" i="1"/>
  <c r="AJ330" i="1"/>
  <c r="AA330" i="1"/>
  <c r="Z330" i="1"/>
  <c r="Y330" i="1"/>
  <c r="P330" i="1"/>
  <c r="AQ330" i="1" s="1"/>
  <c r="O330" i="1"/>
  <c r="AX330" i="1" s="1"/>
  <c r="F330" i="1"/>
  <c r="BB308" i="1"/>
  <c r="AZ308" i="1"/>
  <c r="AW308" i="1"/>
  <c r="AV308" i="1"/>
  <c r="AS308" i="1"/>
  <c r="AM308" i="1"/>
  <c r="AO308" i="1" s="1"/>
  <c r="AL308" i="1"/>
  <c r="AJ308" i="1"/>
  <c r="AA308" i="1"/>
  <c r="Z308" i="1"/>
  <c r="Y308" i="1"/>
  <c r="P308" i="1"/>
  <c r="AQ308" i="1" s="1"/>
  <c r="O308" i="1"/>
  <c r="F308" i="1"/>
  <c r="BB307" i="1"/>
  <c r="AZ307" i="1"/>
  <c r="AW307" i="1"/>
  <c r="AV307" i="1"/>
  <c r="AS307" i="1"/>
  <c r="AM307" i="1"/>
  <c r="AO307" i="1" s="1"/>
  <c r="AL307" i="1"/>
  <c r="AJ307" i="1"/>
  <c r="AA307" i="1"/>
  <c r="Z307" i="1"/>
  <c r="Y307" i="1"/>
  <c r="P307" i="1"/>
  <c r="AQ307" i="1" s="1"/>
  <c r="O307" i="1"/>
  <c r="F307" i="1"/>
  <c r="BB306" i="1"/>
  <c r="AZ306" i="1"/>
  <c r="AW306" i="1"/>
  <c r="AV306" i="1"/>
  <c r="AS306" i="1"/>
  <c r="AM306" i="1"/>
  <c r="AO306" i="1" s="1"/>
  <c r="AL306" i="1"/>
  <c r="AJ306" i="1"/>
  <c r="AA306" i="1"/>
  <c r="Z306" i="1"/>
  <c r="Y306" i="1"/>
  <c r="P306" i="1"/>
  <c r="AQ306" i="1" s="1"/>
  <c r="O306" i="1"/>
  <c r="F306" i="1"/>
  <c r="BB133" i="1"/>
  <c r="AZ133" i="1"/>
  <c r="AW133" i="1"/>
  <c r="AV133" i="1"/>
  <c r="AS133" i="1"/>
  <c r="AM133" i="1"/>
  <c r="AO133" i="1" s="1"/>
  <c r="AL133" i="1"/>
  <c r="AJ133" i="1"/>
  <c r="AA133" i="1"/>
  <c r="Z133" i="1"/>
  <c r="Y133" i="1"/>
  <c r="P133" i="1"/>
  <c r="AQ133" i="1" s="1"/>
  <c r="O133" i="1"/>
  <c r="F133" i="1"/>
  <c r="BB331" i="1"/>
  <c r="AZ331" i="1"/>
  <c r="AW331" i="1"/>
  <c r="AV331" i="1"/>
  <c r="AS331" i="1"/>
  <c r="AM331" i="1"/>
  <c r="AO331" i="1" s="1"/>
  <c r="AL331" i="1"/>
  <c r="AJ331" i="1"/>
  <c r="AA331" i="1"/>
  <c r="Z331" i="1"/>
  <c r="Y331" i="1"/>
  <c r="P331" i="1"/>
  <c r="AQ331" i="1" s="1"/>
  <c r="O331" i="1"/>
  <c r="BF331" i="1" s="1"/>
  <c r="F331" i="1"/>
  <c r="BB134" i="1"/>
  <c r="AZ134" i="1"/>
  <c r="AW134" i="1"/>
  <c r="AV134" i="1"/>
  <c r="AS134" i="1"/>
  <c r="AM134" i="1"/>
  <c r="AO134" i="1" s="1"/>
  <c r="AL134" i="1"/>
  <c r="AJ134" i="1"/>
  <c r="AA134" i="1"/>
  <c r="Z134" i="1"/>
  <c r="Y134" i="1"/>
  <c r="P134" i="1"/>
  <c r="AQ134" i="1" s="1"/>
  <c r="O134" i="1"/>
  <c r="AX134" i="1" s="1"/>
  <c r="F134" i="1"/>
  <c r="BB305" i="1"/>
  <c r="AZ305" i="1"/>
  <c r="AW305" i="1"/>
  <c r="AV305" i="1"/>
  <c r="AS305" i="1"/>
  <c r="AM305" i="1"/>
  <c r="AO305" i="1" s="1"/>
  <c r="AL305" i="1"/>
  <c r="AJ305" i="1"/>
  <c r="AA305" i="1"/>
  <c r="Z305" i="1"/>
  <c r="Y305" i="1"/>
  <c r="P305" i="1"/>
  <c r="AQ305" i="1" s="1"/>
  <c r="O305" i="1"/>
  <c r="F305" i="1"/>
  <c r="BB304" i="1"/>
  <c r="AZ304" i="1"/>
  <c r="AW304" i="1"/>
  <c r="AV304" i="1"/>
  <c r="AS304" i="1"/>
  <c r="AM304" i="1"/>
  <c r="AO304" i="1" s="1"/>
  <c r="AL304" i="1"/>
  <c r="AJ304" i="1"/>
  <c r="AA304" i="1"/>
  <c r="Z304" i="1"/>
  <c r="Y304" i="1"/>
  <c r="P304" i="1"/>
  <c r="AQ304" i="1" s="1"/>
  <c r="O304" i="1"/>
  <c r="AX304" i="1" s="1"/>
  <c r="F304" i="1"/>
  <c r="BB303" i="1"/>
  <c r="AZ303" i="1"/>
  <c r="AW303" i="1"/>
  <c r="AV303" i="1"/>
  <c r="AS303" i="1"/>
  <c r="AM303" i="1"/>
  <c r="AO303" i="1" s="1"/>
  <c r="AL303" i="1"/>
  <c r="AJ303" i="1"/>
  <c r="AA303" i="1"/>
  <c r="Z303" i="1"/>
  <c r="Y303" i="1"/>
  <c r="P303" i="1"/>
  <c r="AQ303" i="1" s="1"/>
  <c r="O303" i="1"/>
  <c r="F303" i="1"/>
  <c r="BB302" i="1"/>
  <c r="AZ302" i="1"/>
  <c r="AW302" i="1"/>
  <c r="AV302" i="1"/>
  <c r="AS302" i="1"/>
  <c r="AM302" i="1"/>
  <c r="AO302" i="1" s="1"/>
  <c r="AL302" i="1"/>
  <c r="AJ302" i="1"/>
  <c r="AA302" i="1"/>
  <c r="Z302" i="1"/>
  <c r="Y302" i="1"/>
  <c r="P302" i="1"/>
  <c r="AQ302" i="1" s="1"/>
  <c r="O302" i="1"/>
  <c r="AC302" i="1" s="1"/>
  <c r="F302" i="1"/>
  <c r="BB301" i="1"/>
  <c r="AZ301" i="1"/>
  <c r="AW301" i="1"/>
  <c r="AV301" i="1"/>
  <c r="AS301" i="1"/>
  <c r="AM301" i="1"/>
  <c r="AO301" i="1" s="1"/>
  <c r="AL301" i="1"/>
  <c r="AJ301" i="1"/>
  <c r="AA301" i="1"/>
  <c r="Z301" i="1"/>
  <c r="Y301" i="1"/>
  <c r="P301" i="1"/>
  <c r="AQ301" i="1" s="1"/>
  <c r="O301" i="1"/>
  <c r="AX301" i="1" s="1"/>
  <c r="F301" i="1"/>
  <c r="BB300" i="1"/>
  <c r="AZ300" i="1"/>
  <c r="AW300" i="1"/>
  <c r="AV300" i="1"/>
  <c r="AS300" i="1"/>
  <c r="AM300" i="1"/>
  <c r="AO300" i="1" s="1"/>
  <c r="AL300" i="1"/>
  <c r="AJ300" i="1"/>
  <c r="AA300" i="1"/>
  <c r="Z300" i="1"/>
  <c r="Y300" i="1"/>
  <c r="P300" i="1"/>
  <c r="AQ300" i="1" s="1"/>
  <c r="O300" i="1"/>
  <c r="AX300" i="1" s="1"/>
  <c r="F300" i="1"/>
  <c r="BB299" i="1"/>
  <c r="AZ299" i="1"/>
  <c r="AW299" i="1"/>
  <c r="AV299" i="1"/>
  <c r="AS299" i="1"/>
  <c r="AM299" i="1"/>
  <c r="AO299" i="1" s="1"/>
  <c r="AL299" i="1"/>
  <c r="AJ299" i="1"/>
  <c r="AA299" i="1"/>
  <c r="Z299" i="1"/>
  <c r="Y299" i="1"/>
  <c r="P299" i="1"/>
  <c r="AQ299" i="1" s="1"/>
  <c r="O299" i="1"/>
  <c r="AB299" i="1" s="1"/>
  <c r="F299" i="1"/>
  <c r="BB298" i="1"/>
  <c r="AZ298" i="1"/>
  <c r="AW298" i="1"/>
  <c r="AV298" i="1"/>
  <c r="AS298" i="1"/>
  <c r="AM298" i="1"/>
  <c r="AO298" i="1" s="1"/>
  <c r="AL298" i="1"/>
  <c r="AJ298" i="1"/>
  <c r="AA298" i="1"/>
  <c r="Z298" i="1"/>
  <c r="Y298" i="1"/>
  <c r="P298" i="1"/>
  <c r="AQ298" i="1" s="1"/>
  <c r="O298" i="1"/>
  <c r="F298" i="1"/>
  <c r="BB327" i="1"/>
  <c r="AZ327" i="1"/>
  <c r="AW327" i="1"/>
  <c r="AV327" i="1"/>
  <c r="AS327" i="1"/>
  <c r="AM327" i="1"/>
  <c r="AO327" i="1" s="1"/>
  <c r="AL327" i="1"/>
  <c r="AJ327" i="1"/>
  <c r="AA327" i="1"/>
  <c r="Z327" i="1"/>
  <c r="Y327" i="1"/>
  <c r="P327" i="1"/>
  <c r="AQ327" i="1" s="1"/>
  <c r="O327" i="1"/>
  <c r="AX327" i="1" s="1"/>
  <c r="F327" i="1"/>
  <c r="BB297" i="1"/>
  <c r="AZ297" i="1"/>
  <c r="AW297" i="1"/>
  <c r="AV297" i="1"/>
  <c r="AS297" i="1"/>
  <c r="AM297" i="1"/>
  <c r="AO297" i="1" s="1"/>
  <c r="AL297" i="1"/>
  <c r="AJ297" i="1"/>
  <c r="AA297" i="1"/>
  <c r="Z297" i="1"/>
  <c r="Y297" i="1"/>
  <c r="P297" i="1"/>
  <c r="AQ297" i="1" s="1"/>
  <c r="O297" i="1"/>
  <c r="AX297" i="1" s="1"/>
  <c r="F297" i="1"/>
  <c r="BB296" i="1"/>
  <c r="AZ296" i="1"/>
  <c r="AW296" i="1"/>
  <c r="AV296" i="1"/>
  <c r="AS296" i="1"/>
  <c r="AM296" i="1"/>
  <c r="AO296" i="1" s="1"/>
  <c r="AL296" i="1"/>
  <c r="AJ296" i="1"/>
  <c r="AA296" i="1"/>
  <c r="Z296" i="1"/>
  <c r="Y296" i="1"/>
  <c r="P296" i="1"/>
  <c r="AQ296" i="1" s="1"/>
  <c r="O296" i="1"/>
  <c r="AX296" i="1" s="1"/>
  <c r="F296" i="1"/>
  <c r="BB295" i="1"/>
  <c r="AZ295" i="1"/>
  <c r="AW295" i="1"/>
  <c r="AV295" i="1"/>
  <c r="AS295" i="1"/>
  <c r="AM295" i="1"/>
  <c r="AO295" i="1" s="1"/>
  <c r="AL295" i="1"/>
  <c r="AJ295" i="1"/>
  <c r="AA295" i="1"/>
  <c r="Z295" i="1"/>
  <c r="Y295" i="1"/>
  <c r="P295" i="1"/>
  <c r="AQ295" i="1" s="1"/>
  <c r="O295" i="1"/>
  <c r="F295" i="1"/>
  <c r="BB130" i="1"/>
  <c r="AZ130" i="1"/>
  <c r="AW130" i="1"/>
  <c r="AV130" i="1"/>
  <c r="AS130" i="1"/>
  <c r="AM130" i="1"/>
  <c r="AO130" i="1" s="1"/>
  <c r="AL130" i="1"/>
  <c r="AJ130" i="1"/>
  <c r="AA130" i="1"/>
  <c r="Z130" i="1"/>
  <c r="Y130" i="1"/>
  <c r="P130" i="1"/>
  <c r="AQ130" i="1" s="1"/>
  <c r="O130" i="1"/>
  <c r="F130" i="1"/>
  <c r="BB294" i="1"/>
  <c r="AZ294" i="1"/>
  <c r="AW294" i="1"/>
  <c r="AV294" i="1"/>
  <c r="AS294" i="1"/>
  <c r="AM294" i="1"/>
  <c r="AO294" i="1" s="1"/>
  <c r="AL294" i="1"/>
  <c r="AJ294" i="1"/>
  <c r="AA294" i="1"/>
  <c r="Z294" i="1"/>
  <c r="Y294" i="1"/>
  <c r="P294" i="1"/>
  <c r="AQ294" i="1" s="1"/>
  <c r="O294" i="1"/>
  <c r="F294" i="1"/>
  <c r="BB293" i="1"/>
  <c r="AZ293" i="1"/>
  <c r="AW293" i="1"/>
  <c r="AV293" i="1"/>
  <c r="AS293" i="1"/>
  <c r="AM293" i="1"/>
  <c r="AO293" i="1" s="1"/>
  <c r="AL293" i="1"/>
  <c r="AJ293" i="1"/>
  <c r="AA293" i="1"/>
  <c r="Z293" i="1"/>
  <c r="Y293" i="1"/>
  <c r="P293" i="1"/>
  <c r="AQ293" i="1" s="1"/>
  <c r="O293" i="1"/>
  <c r="F293" i="1"/>
  <c r="BB329" i="1"/>
  <c r="AZ329" i="1"/>
  <c r="AW329" i="1"/>
  <c r="AV329" i="1"/>
  <c r="AS329" i="1"/>
  <c r="AM329" i="1"/>
  <c r="AO329" i="1" s="1"/>
  <c r="AL329" i="1"/>
  <c r="AJ329" i="1"/>
  <c r="AA329" i="1"/>
  <c r="Z329" i="1"/>
  <c r="Y329" i="1"/>
  <c r="P329" i="1"/>
  <c r="AQ329" i="1" s="1"/>
  <c r="O329" i="1"/>
  <c r="AX329" i="1" s="1"/>
  <c r="F329" i="1"/>
  <c r="BB292" i="1"/>
  <c r="AZ292" i="1"/>
  <c r="AX292" i="1"/>
  <c r="AW292" i="1"/>
  <c r="AV292" i="1"/>
  <c r="AS292" i="1"/>
  <c r="AM292" i="1"/>
  <c r="AO292" i="1" s="1"/>
  <c r="AL292" i="1"/>
  <c r="AJ292" i="1"/>
  <c r="AA292" i="1"/>
  <c r="Z292" i="1"/>
  <c r="Y292" i="1"/>
  <c r="P292" i="1"/>
  <c r="AQ292" i="1" s="1"/>
  <c r="O292" i="1"/>
  <c r="AB292" i="1" s="1"/>
  <c r="F292" i="1"/>
  <c r="BB284" i="1"/>
  <c r="AZ284" i="1"/>
  <c r="AX284" i="1"/>
  <c r="AW284" i="1"/>
  <c r="AV284" i="1"/>
  <c r="AS284" i="1"/>
  <c r="AM284" i="1"/>
  <c r="AO284" i="1" s="1"/>
  <c r="AL284" i="1"/>
  <c r="AJ284" i="1"/>
  <c r="AA284" i="1"/>
  <c r="Z284" i="1"/>
  <c r="Y284" i="1"/>
  <c r="P284" i="1"/>
  <c r="AQ284" i="1" s="1"/>
  <c r="O284" i="1"/>
  <c r="AD284" i="1" s="1"/>
  <c r="F284" i="1"/>
  <c r="BB277" i="1"/>
  <c r="AZ277" i="1"/>
  <c r="AX277" i="1"/>
  <c r="AW277" i="1"/>
  <c r="AV277" i="1"/>
  <c r="AS277" i="1"/>
  <c r="AM277" i="1"/>
  <c r="AO277" i="1" s="1"/>
  <c r="AL277" i="1"/>
  <c r="AJ277" i="1"/>
  <c r="AA277" i="1"/>
  <c r="Z277" i="1"/>
  <c r="Y277" i="1"/>
  <c r="P277" i="1"/>
  <c r="AQ277" i="1" s="1"/>
  <c r="O277" i="1"/>
  <c r="F277" i="1"/>
  <c r="BB282" i="1"/>
  <c r="AZ282" i="1"/>
  <c r="AX282" i="1"/>
  <c r="AW282" i="1"/>
  <c r="AV282" i="1"/>
  <c r="AS282" i="1"/>
  <c r="AM282" i="1"/>
  <c r="AO282" i="1" s="1"/>
  <c r="AL282" i="1"/>
  <c r="AJ282" i="1"/>
  <c r="AA282" i="1"/>
  <c r="Z282" i="1"/>
  <c r="Y282" i="1"/>
  <c r="P282" i="1"/>
  <c r="AQ282" i="1" s="1"/>
  <c r="O282" i="1"/>
  <c r="AC282" i="1" s="1"/>
  <c r="F282" i="1"/>
  <c r="BB287" i="1"/>
  <c r="AZ287" i="1"/>
  <c r="AX287" i="1"/>
  <c r="AW287" i="1"/>
  <c r="AV287" i="1"/>
  <c r="AS287" i="1"/>
  <c r="AM287" i="1"/>
  <c r="AO287" i="1" s="1"/>
  <c r="AL287" i="1"/>
  <c r="AJ287" i="1"/>
  <c r="AA287" i="1"/>
  <c r="Z287" i="1"/>
  <c r="Y287" i="1"/>
  <c r="P287" i="1"/>
  <c r="AQ287" i="1" s="1"/>
  <c r="O287" i="1"/>
  <c r="AD287" i="1" s="1"/>
  <c r="F287" i="1"/>
  <c r="BB291" i="1"/>
  <c r="AZ291" i="1"/>
  <c r="AX291" i="1"/>
  <c r="AW291" i="1"/>
  <c r="AV291" i="1"/>
  <c r="AS291" i="1"/>
  <c r="AM291" i="1"/>
  <c r="AO291" i="1" s="1"/>
  <c r="AL291" i="1"/>
  <c r="AJ291" i="1"/>
  <c r="AA291" i="1"/>
  <c r="Z291" i="1"/>
  <c r="Y291" i="1"/>
  <c r="P291" i="1"/>
  <c r="AQ291" i="1" s="1"/>
  <c r="O291" i="1"/>
  <c r="F291" i="1"/>
  <c r="BB283" i="1"/>
  <c r="AZ283" i="1"/>
  <c r="AX283" i="1"/>
  <c r="AW283" i="1"/>
  <c r="AV283" i="1"/>
  <c r="AS283" i="1"/>
  <c r="AM283" i="1"/>
  <c r="AO283" i="1" s="1"/>
  <c r="AL283" i="1"/>
  <c r="AJ283" i="1"/>
  <c r="AA283" i="1"/>
  <c r="Z283" i="1"/>
  <c r="Y283" i="1"/>
  <c r="P283" i="1"/>
  <c r="AQ283" i="1" s="1"/>
  <c r="O283" i="1"/>
  <c r="AB283" i="1" s="1"/>
  <c r="F283" i="1"/>
  <c r="BB286" i="1"/>
  <c r="AZ286" i="1"/>
  <c r="AX286" i="1"/>
  <c r="AW286" i="1"/>
  <c r="AV286" i="1"/>
  <c r="AS286" i="1"/>
  <c r="AM286" i="1"/>
  <c r="AO286" i="1" s="1"/>
  <c r="AL286" i="1"/>
  <c r="AJ286" i="1"/>
  <c r="AA286" i="1"/>
  <c r="Z286" i="1"/>
  <c r="Y286" i="1"/>
  <c r="P286" i="1"/>
  <c r="AQ286" i="1" s="1"/>
  <c r="O286" i="1"/>
  <c r="AB286" i="1" s="1"/>
  <c r="F286" i="1"/>
  <c r="BB288" i="1"/>
  <c r="AZ288" i="1"/>
  <c r="AX288" i="1"/>
  <c r="AW288" i="1"/>
  <c r="AV288" i="1"/>
  <c r="AS288" i="1"/>
  <c r="AM288" i="1"/>
  <c r="AO288" i="1" s="1"/>
  <c r="AL288" i="1"/>
  <c r="AJ288" i="1"/>
  <c r="AA288" i="1"/>
  <c r="Z288" i="1"/>
  <c r="Y288" i="1"/>
  <c r="P288" i="1"/>
  <c r="AQ288" i="1" s="1"/>
  <c r="O288" i="1"/>
  <c r="F288" i="1"/>
  <c r="BB289" i="1"/>
  <c r="AZ289" i="1"/>
  <c r="AX289" i="1"/>
  <c r="AW289" i="1"/>
  <c r="AV289" i="1"/>
  <c r="AS289" i="1"/>
  <c r="AM289" i="1"/>
  <c r="AO289" i="1" s="1"/>
  <c r="AL289" i="1"/>
  <c r="AJ289" i="1"/>
  <c r="AA289" i="1"/>
  <c r="Z289" i="1"/>
  <c r="Y289" i="1"/>
  <c r="P289" i="1"/>
  <c r="AQ289" i="1" s="1"/>
  <c r="O289" i="1"/>
  <c r="AB289" i="1" s="1"/>
  <c r="F289" i="1"/>
  <c r="BB290" i="1"/>
  <c r="AZ290" i="1"/>
  <c r="AX290" i="1"/>
  <c r="AW290" i="1"/>
  <c r="AV290" i="1"/>
  <c r="AS290" i="1"/>
  <c r="AM290" i="1"/>
  <c r="AO290" i="1" s="1"/>
  <c r="AL290" i="1"/>
  <c r="AJ290" i="1"/>
  <c r="AA290" i="1"/>
  <c r="Z290" i="1"/>
  <c r="Y290" i="1"/>
  <c r="P290" i="1"/>
  <c r="AQ290" i="1" s="1"/>
  <c r="O290" i="1"/>
  <c r="AB290" i="1" s="1"/>
  <c r="F290" i="1"/>
  <c r="BB279" i="1"/>
  <c r="AZ279" i="1"/>
  <c r="AX279" i="1"/>
  <c r="AW279" i="1"/>
  <c r="AV279" i="1"/>
  <c r="AS279" i="1"/>
  <c r="AM279" i="1"/>
  <c r="AO279" i="1" s="1"/>
  <c r="AL279" i="1"/>
  <c r="AJ279" i="1"/>
  <c r="AA279" i="1"/>
  <c r="Z279" i="1"/>
  <c r="Y279" i="1"/>
  <c r="P279" i="1"/>
  <c r="AQ279" i="1" s="1"/>
  <c r="O279" i="1"/>
  <c r="AB279" i="1" s="1"/>
  <c r="F279" i="1"/>
  <c r="BB278" i="1"/>
  <c r="AZ278" i="1"/>
  <c r="AX278" i="1"/>
  <c r="AW278" i="1"/>
  <c r="AV278" i="1"/>
  <c r="AS278" i="1"/>
  <c r="AM278" i="1"/>
  <c r="AO278" i="1" s="1"/>
  <c r="AL278" i="1"/>
  <c r="AJ278" i="1"/>
  <c r="AA278" i="1"/>
  <c r="Z278" i="1"/>
  <c r="Y278" i="1"/>
  <c r="P278" i="1"/>
  <c r="AQ278" i="1" s="1"/>
  <c r="O278" i="1"/>
  <c r="AC278" i="1" s="1"/>
  <c r="F278" i="1"/>
  <c r="BB273" i="1"/>
  <c r="AZ273" i="1"/>
  <c r="AX273" i="1"/>
  <c r="AW273" i="1"/>
  <c r="AV273" i="1"/>
  <c r="AS273" i="1"/>
  <c r="AM273" i="1"/>
  <c r="AO273" i="1" s="1"/>
  <c r="AL273" i="1"/>
  <c r="AJ273" i="1"/>
  <c r="AA273" i="1"/>
  <c r="Z273" i="1"/>
  <c r="Y273" i="1"/>
  <c r="P273" i="1"/>
  <c r="AQ273" i="1" s="1"/>
  <c r="O273" i="1"/>
  <c r="AC273" i="1" s="1"/>
  <c r="F273" i="1"/>
  <c r="BB181" i="1"/>
  <c r="AZ181" i="1"/>
  <c r="AX181" i="1"/>
  <c r="AW181" i="1"/>
  <c r="AV181" i="1"/>
  <c r="AS181" i="1"/>
  <c r="AM181" i="1"/>
  <c r="AO181" i="1" s="1"/>
  <c r="AL181" i="1"/>
  <c r="AJ181" i="1"/>
  <c r="AA181" i="1"/>
  <c r="Z181" i="1"/>
  <c r="Y181" i="1"/>
  <c r="P181" i="1"/>
  <c r="AQ181" i="1" s="1"/>
  <c r="O181" i="1"/>
  <c r="BF181" i="1" s="1"/>
  <c r="F181" i="1"/>
  <c r="BB268" i="1"/>
  <c r="AZ268" i="1"/>
  <c r="AX268" i="1"/>
  <c r="AW268" i="1"/>
  <c r="AV268" i="1"/>
  <c r="AS268" i="1"/>
  <c r="AM268" i="1"/>
  <c r="AO268" i="1" s="1"/>
  <c r="AL268" i="1"/>
  <c r="AJ268" i="1"/>
  <c r="AA268" i="1"/>
  <c r="Z268" i="1"/>
  <c r="Y268" i="1"/>
  <c r="P268" i="1"/>
  <c r="AQ268" i="1" s="1"/>
  <c r="O268" i="1"/>
  <c r="AB268" i="1" s="1"/>
  <c r="F268" i="1"/>
  <c r="BB275" i="1"/>
  <c r="AZ275" i="1"/>
  <c r="AX275" i="1"/>
  <c r="AW275" i="1"/>
  <c r="AV275" i="1"/>
  <c r="AS275" i="1"/>
  <c r="AM275" i="1"/>
  <c r="AO275" i="1" s="1"/>
  <c r="AL275" i="1"/>
  <c r="AJ275" i="1"/>
  <c r="AA275" i="1"/>
  <c r="Z275" i="1"/>
  <c r="Y275" i="1"/>
  <c r="P275" i="1"/>
  <c r="AQ275" i="1" s="1"/>
  <c r="O275" i="1"/>
  <c r="AC275" i="1" s="1"/>
  <c r="F275" i="1"/>
  <c r="BB256" i="1"/>
  <c r="AZ256" i="1"/>
  <c r="AX256" i="1"/>
  <c r="AW256" i="1"/>
  <c r="AV256" i="1"/>
  <c r="AS256" i="1"/>
  <c r="AM256" i="1"/>
  <c r="AO256" i="1" s="1"/>
  <c r="AL256" i="1"/>
  <c r="AJ256" i="1"/>
  <c r="AA256" i="1"/>
  <c r="Z256" i="1"/>
  <c r="Y256" i="1"/>
  <c r="P256" i="1"/>
  <c r="AQ256" i="1" s="1"/>
  <c r="O256" i="1"/>
  <c r="AB256" i="1" s="1"/>
  <c r="F256" i="1"/>
  <c r="BB248" i="1"/>
  <c r="AZ248" i="1"/>
  <c r="AX248" i="1"/>
  <c r="AW248" i="1"/>
  <c r="AV248" i="1"/>
  <c r="AS248" i="1"/>
  <c r="AM248" i="1"/>
  <c r="AO248" i="1" s="1"/>
  <c r="AL248" i="1"/>
  <c r="AJ248" i="1"/>
  <c r="AA248" i="1"/>
  <c r="Z248" i="1"/>
  <c r="Y248" i="1"/>
  <c r="P248" i="1"/>
  <c r="AQ248" i="1" s="1"/>
  <c r="O248" i="1"/>
  <c r="BF248" i="1" s="1"/>
  <c r="F248" i="1"/>
  <c r="BB249" i="1"/>
  <c r="AZ249" i="1"/>
  <c r="AX249" i="1"/>
  <c r="AW249" i="1"/>
  <c r="AV249" i="1"/>
  <c r="AS249" i="1"/>
  <c r="AM249" i="1"/>
  <c r="AO249" i="1" s="1"/>
  <c r="AL249" i="1"/>
  <c r="AJ249" i="1"/>
  <c r="AA249" i="1"/>
  <c r="Z249" i="1"/>
  <c r="Y249" i="1"/>
  <c r="P249" i="1"/>
  <c r="AQ249" i="1" s="1"/>
  <c r="O249" i="1"/>
  <c r="AB249" i="1" s="1"/>
  <c r="F249" i="1"/>
  <c r="BB276" i="1"/>
  <c r="AZ276" i="1"/>
  <c r="AX276" i="1"/>
  <c r="AW276" i="1"/>
  <c r="AV276" i="1"/>
  <c r="AS276" i="1"/>
  <c r="AM276" i="1"/>
  <c r="AO276" i="1" s="1"/>
  <c r="AL276" i="1"/>
  <c r="AJ276" i="1"/>
  <c r="AA276" i="1"/>
  <c r="Z276" i="1"/>
  <c r="Y276" i="1"/>
  <c r="P276" i="1"/>
  <c r="AQ276" i="1" s="1"/>
  <c r="O276" i="1"/>
  <c r="AC276" i="1" s="1"/>
  <c r="F276" i="1"/>
  <c r="BB271" i="1"/>
  <c r="AZ271" i="1"/>
  <c r="AX271" i="1"/>
  <c r="AW271" i="1"/>
  <c r="AV271" i="1"/>
  <c r="AS271" i="1"/>
  <c r="AM271" i="1"/>
  <c r="AO271" i="1" s="1"/>
  <c r="AL271" i="1"/>
  <c r="AJ271" i="1"/>
  <c r="AA271" i="1"/>
  <c r="Z271" i="1"/>
  <c r="Y271" i="1"/>
  <c r="P271" i="1"/>
  <c r="AQ271" i="1" s="1"/>
  <c r="O271" i="1"/>
  <c r="F271" i="1"/>
  <c r="BB267" i="1"/>
  <c r="AZ267" i="1"/>
  <c r="AX267" i="1"/>
  <c r="AW267" i="1"/>
  <c r="AV267" i="1"/>
  <c r="AS267" i="1"/>
  <c r="AM267" i="1"/>
  <c r="AO267" i="1" s="1"/>
  <c r="AL267" i="1"/>
  <c r="AJ267" i="1"/>
  <c r="AA267" i="1"/>
  <c r="Z267" i="1"/>
  <c r="Y267" i="1"/>
  <c r="P267" i="1"/>
  <c r="AQ267" i="1" s="1"/>
  <c r="O267" i="1"/>
  <c r="AB267" i="1" s="1"/>
  <c r="F267" i="1"/>
  <c r="BB272" i="1"/>
  <c r="AZ272" i="1"/>
  <c r="AX272" i="1"/>
  <c r="AW272" i="1"/>
  <c r="AV272" i="1"/>
  <c r="AS272" i="1"/>
  <c r="AM272" i="1"/>
  <c r="AO272" i="1" s="1"/>
  <c r="AL272" i="1"/>
  <c r="AJ272" i="1"/>
  <c r="AA272" i="1"/>
  <c r="Z272" i="1"/>
  <c r="Y272" i="1"/>
  <c r="P272" i="1"/>
  <c r="AQ272" i="1" s="1"/>
  <c r="O272" i="1"/>
  <c r="AC272" i="1" s="1"/>
  <c r="F272" i="1"/>
  <c r="BB251" i="1"/>
  <c r="AZ251" i="1"/>
  <c r="AX251" i="1"/>
  <c r="AW251" i="1"/>
  <c r="AV251" i="1"/>
  <c r="AS251" i="1"/>
  <c r="AM251" i="1"/>
  <c r="AO251" i="1" s="1"/>
  <c r="AL251" i="1"/>
  <c r="AJ251" i="1"/>
  <c r="AA251" i="1"/>
  <c r="Z251" i="1"/>
  <c r="Y251" i="1"/>
  <c r="P251" i="1"/>
  <c r="AQ251" i="1" s="1"/>
  <c r="O251" i="1"/>
  <c r="F251" i="1"/>
  <c r="BB252" i="1"/>
  <c r="AZ252" i="1"/>
  <c r="AX252" i="1"/>
  <c r="AW252" i="1"/>
  <c r="AV252" i="1"/>
  <c r="AS252" i="1"/>
  <c r="AM252" i="1"/>
  <c r="AO252" i="1" s="1"/>
  <c r="AL252" i="1"/>
  <c r="AJ252" i="1"/>
  <c r="AA252" i="1"/>
  <c r="Z252" i="1"/>
  <c r="Y252" i="1"/>
  <c r="P252" i="1"/>
  <c r="AQ252" i="1" s="1"/>
  <c r="O252" i="1"/>
  <c r="AB252" i="1" s="1"/>
  <c r="F252" i="1"/>
  <c r="BB266" i="1"/>
  <c r="AZ266" i="1"/>
  <c r="AX266" i="1"/>
  <c r="AW266" i="1"/>
  <c r="AV266" i="1"/>
  <c r="AS266" i="1"/>
  <c r="AM266" i="1"/>
  <c r="AO266" i="1" s="1"/>
  <c r="AL266" i="1"/>
  <c r="AJ266" i="1"/>
  <c r="AA266" i="1"/>
  <c r="Z266" i="1"/>
  <c r="Y266" i="1"/>
  <c r="P266" i="1"/>
  <c r="AQ266" i="1" s="1"/>
  <c r="O266" i="1"/>
  <c r="AB266" i="1" s="1"/>
  <c r="F266" i="1"/>
  <c r="BB274" i="1"/>
  <c r="AZ274" i="1"/>
  <c r="AX274" i="1"/>
  <c r="AW274" i="1"/>
  <c r="AV274" i="1"/>
  <c r="AS274" i="1"/>
  <c r="AM274" i="1"/>
  <c r="AO274" i="1" s="1"/>
  <c r="AL274" i="1"/>
  <c r="AJ274" i="1"/>
  <c r="AA274" i="1"/>
  <c r="Z274" i="1"/>
  <c r="Y274" i="1"/>
  <c r="P274" i="1"/>
  <c r="AQ274" i="1" s="1"/>
  <c r="O274" i="1"/>
  <c r="AC274" i="1" s="1"/>
  <c r="F274" i="1"/>
  <c r="BB269" i="1"/>
  <c r="AZ269" i="1"/>
  <c r="AX269" i="1"/>
  <c r="AW269" i="1"/>
  <c r="AV269" i="1"/>
  <c r="AS269" i="1"/>
  <c r="AM269" i="1"/>
  <c r="AO269" i="1" s="1"/>
  <c r="AL269" i="1"/>
  <c r="AJ269" i="1"/>
  <c r="AA269" i="1"/>
  <c r="Z269" i="1"/>
  <c r="Y269" i="1"/>
  <c r="P269" i="1"/>
  <c r="AQ269" i="1" s="1"/>
  <c r="O269" i="1"/>
  <c r="F269" i="1"/>
  <c r="BB270" i="1"/>
  <c r="AZ270" i="1"/>
  <c r="AX270" i="1"/>
  <c r="AW270" i="1"/>
  <c r="AV270" i="1"/>
  <c r="AS270" i="1"/>
  <c r="AM270" i="1"/>
  <c r="AO270" i="1" s="1"/>
  <c r="AL270" i="1"/>
  <c r="AJ270" i="1"/>
  <c r="AA270" i="1"/>
  <c r="Z270" i="1"/>
  <c r="Y270" i="1"/>
  <c r="P270" i="1"/>
  <c r="AQ270" i="1" s="1"/>
  <c r="O270" i="1"/>
  <c r="AC270" i="1" s="1"/>
  <c r="F270" i="1"/>
  <c r="BB265" i="1"/>
  <c r="AZ265" i="1"/>
  <c r="AX265" i="1"/>
  <c r="AW265" i="1"/>
  <c r="AV265" i="1"/>
  <c r="AS265" i="1"/>
  <c r="AM265" i="1"/>
  <c r="AO265" i="1" s="1"/>
  <c r="AL265" i="1"/>
  <c r="AJ265" i="1"/>
  <c r="AA265" i="1"/>
  <c r="Z265" i="1"/>
  <c r="Y265" i="1"/>
  <c r="P265" i="1"/>
  <c r="AQ265" i="1" s="1"/>
  <c r="O265" i="1"/>
  <c r="F265" i="1"/>
  <c r="BB264" i="1"/>
  <c r="AZ264" i="1"/>
  <c r="AX264" i="1"/>
  <c r="AW264" i="1"/>
  <c r="AV264" i="1"/>
  <c r="AS264" i="1"/>
  <c r="AM264" i="1"/>
  <c r="AO264" i="1" s="1"/>
  <c r="AL264" i="1"/>
  <c r="AJ264" i="1"/>
  <c r="AA264" i="1"/>
  <c r="Z264" i="1"/>
  <c r="Y264" i="1"/>
  <c r="P264" i="1"/>
  <c r="AQ264" i="1" s="1"/>
  <c r="O264" i="1"/>
  <c r="F264" i="1"/>
  <c r="BB262" i="1"/>
  <c r="AZ262" i="1"/>
  <c r="AX262" i="1"/>
  <c r="AW262" i="1"/>
  <c r="AV262" i="1"/>
  <c r="AS262" i="1"/>
  <c r="AM262" i="1"/>
  <c r="AO262" i="1" s="1"/>
  <c r="AL262" i="1"/>
  <c r="AJ262" i="1"/>
  <c r="AA262" i="1"/>
  <c r="Z262" i="1"/>
  <c r="Y262" i="1"/>
  <c r="P262" i="1"/>
  <c r="AQ262" i="1" s="1"/>
  <c r="O262" i="1"/>
  <c r="F262" i="1"/>
  <c r="BB258" i="1"/>
  <c r="AZ258" i="1"/>
  <c r="AX258" i="1"/>
  <c r="AW258" i="1"/>
  <c r="AV258" i="1"/>
  <c r="AS258" i="1"/>
  <c r="AM258" i="1"/>
  <c r="AO258" i="1" s="1"/>
  <c r="AL258" i="1"/>
  <c r="AJ258" i="1"/>
  <c r="AA258" i="1"/>
  <c r="Z258" i="1"/>
  <c r="Y258" i="1"/>
  <c r="P258" i="1"/>
  <c r="AQ258" i="1" s="1"/>
  <c r="O258" i="1"/>
  <c r="AB258" i="1" s="1"/>
  <c r="F258" i="1"/>
  <c r="BB257" i="1"/>
  <c r="AZ257" i="1"/>
  <c r="AX257" i="1"/>
  <c r="AW257" i="1"/>
  <c r="AV257" i="1"/>
  <c r="AS257" i="1"/>
  <c r="AM257" i="1"/>
  <c r="AO257" i="1" s="1"/>
  <c r="AL257" i="1"/>
  <c r="AJ257" i="1"/>
  <c r="AA257" i="1"/>
  <c r="Z257" i="1"/>
  <c r="Y257" i="1"/>
  <c r="P257" i="1"/>
  <c r="AQ257" i="1" s="1"/>
  <c r="O257" i="1"/>
  <c r="AD257" i="1" s="1"/>
  <c r="F257" i="1"/>
  <c r="BB250" i="1"/>
  <c r="AZ250" i="1"/>
  <c r="AX250" i="1"/>
  <c r="AW250" i="1"/>
  <c r="AV250" i="1"/>
  <c r="AS250" i="1"/>
  <c r="AM250" i="1"/>
  <c r="AO250" i="1" s="1"/>
  <c r="AL250" i="1"/>
  <c r="AJ250" i="1"/>
  <c r="AA250" i="1"/>
  <c r="Z250" i="1"/>
  <c r="Y250" i="1"/>
  <c r="P250" i="1"/>
  <c r="AQ250" i="1" s="1"/>
  <c r="O250" i="1"/>
  <c r="F250" i="1"/>
  <c r="BB245" i="1"/>
  <c r="AZ245" i="1"/>
  <c r="AX245" i="1"/>
  <c r="AW245" i="1"/>
  <c r="AV245" i="1"/>
  <c r="AS245" i="1"/>
  <c r="AM245" i="1"/>
  <c r="AO245" i="1" s="1"/>
  <c r="AL245" i="1"/>
  <c r="AJ245" i="1"/>
  <c r="AA245" i="1"/>
  <c r="Z245" i="1"/>
  <c r="Y245" i="1"/>
  <c r="P245" i="1"/>
  <c r="AQ245" i="1" s="1"/>
  <c r="O245" i="1"/>
  <c r="BF245" i="1" s="1"/>
  <c r="F245" i="1"/>
  <c r="BB168" i="1"/>
  <c r="AZ168" i="1"/>
  <c r="AX168" i="1"/>
  <c r="AW168" i="1"/>
  <c r="AV168" i="1"/>
  <c r="AS168" i="1"/>
  <c r="AM168" i="1"/>
  <c r="AO168" i="1" s="1"/>
  <c r="AL168" i="1"/>
  <c r="AJ168" i="1"/>
  <c r="AA168" i="1"/>
  <c r="Z168" i="1"/>
  <c r="Y168" i="1"/>
  <c r="P168" i="1"/>
  <c r="AQ168" i="1" s="1"/>
  <c r="O168" i="1"/>
  <c r="AB168" i="1" s="1"/>
  <c r="F168" i="1"/>
  <c r="BB125" i="1"/>
  <c r="AZ125" i="1"/>
  <c r="AX125" i="1"/>
  <c r="AW125" i="1"/>
  <c r="AV125" i="1"/>
  <c r="AM125" i="1"/>
  <c r="AO125" i="1" s="1"/>
  <c r="AL125" i="1"/>
  <c r="AJ125" i="1"/>
  <c r="AA125" i="1"/>
  <c r="Z125" i="1"/>
  <c r="Y125" i="1"/>
  <c r="P125" i="1"/>
  <c r="AQ125" i="1" s="1"/>
  <c r="O125" i="1"/>
  <c r="AB125" i="1" s="1"/>
  <c r="F125" i="1"/>
  <c r="BB240" i="1"/>
  <c r="AZ240" i="1"/>
  <c r="AX240" i="1"/>
  <c r="AW240" i="1"/>
  <c r="AV240" i="1"/>
  <c r="AS240" i="1"/>
  <c r="AM240" i="1"/>
  <c r="AO240" i="1" s="1"/>
  <c r="AL240" i="1"/>
  <c r="AJ240" i="1"/>
  <c r="AA240" i="1"/>
  <c r="Z240" i="1"/>
  <c r="Y240" i="1"/>
  <c r="P240" i="1"/>
  <c r="AQ240" i="1" s="1"/>
  <c r="O240" i="1"/>
  <c r="F240" i="1"/>
  <c r="BB222" i="1"/>
  <c r="AZ222" i="1"/>
  <c r="AX222" i="1"/>
  <c r="AW222" i="1"/>
  <c r="AV222" i="1"/>
  <c r="AS222" i="1"/>
  <c r="AM222" i="1"/>
  <c r="AO222" i="1" s="1"/>
  <c r="AL222" i="1"/>
  <c r="AJ222" i="1"/>
  <c r="AA222" i="1"/>
  <c r="Z222" i="1"/>
  <c r="Y222" i="1"/>
  <c r="P222" i="1"/>
  <c r="AQ222" i="1" s="1"/>
  <c r="O222" i="1"/>
  <c r="AC222" i="1" s="1"/>
  <c r="F222" i="1"/>
  <c r="BB244" i="1"/>
  <c r="AZ244" i="1"/>
  <c r="AX244" i="1"/>
  <c r="AW244" i="1"/>
  <c r="AV244" i="1"/>
  <c r="AS244" i="1"/>
  <c r="AM244" i="1"/>
  <c r="AO244" i="1" s="1"/>
  <c r="AL244" i="1"/>
  <c r="AJ244" i="1"/>
  <c r="AA244" i="1"/>
  <c r="Z244" i="1"/>
  <c r="Y244" i="1"/>
  <c r="P244" i="1"/>
  <c r="AQ244" i="1" s="1"/>
  <c r="O244" i="1"/>
  <c r="AD244" i="1" s="1"/>
  <c r="F244" i="1"/>
  <c r="BB209" i="1"/>
  <c r="AZ209" i="1"/>
  <c r="AX209" i="1"/>
  <c r="AW209" i="1"/>
  <c r="AV209" i="1"/>
  <c r="AS209" i="1"/>
  <c r="AM209" i="1"/>
  <c r="AO209" i="1" s="1"/>
  <c r="AL209" i="1"/>
  <c r="AJ209" i="1"/>
  <c r="AA209" i="1"/>
  <c r="Z209" i="1"/>
  <c r="Y209" i="1"/>
  <c r="P209" i="1"/>
  <c r="AQ209" i="1" s="1"/>
  <c r="O209" i="1"/>
  <c r="AB209" i="1" s="1"/>
  <c r="F209" i="1"/>
  <c r="BB247" i="1"/>
  <c r="AZ247" i="1"/>
  <c r="AX247" i="1"/>
  <c r="AW247" i="1"/>
  <c r="AV247" i="1"/>
  <c r="AS247" i="1"/>
  <c r="AM247" i="1"/>
  <c r="AO247" i="1" s="1"/>
  <c r="AL247" i="1"/>
  <c r="AJ247" i="1"/>
  <c r="AA247" i="1"/>
  <c r="Z247" i="1"/>
  <c r="Y247" i="1"/>
  <c r="P247" i="1"/>
  <c r="AQ247" i="1" s="1"/>
  <c r="O247" i="1"/>
  <c r="AC247" i="1" s="1"/>
  <c r="F247" i="1"/>
  <c r="BB237" i="1"/>
  <c r="AZ237" i="1"/>
  <c r="AX237" i="1"/>
  <c r="AW237" i="1"/>
  <c r="AV237" i="1"/>
  <c r="AS237" i="1"/>
  <c r="AM237" i="1"/>
  <c r="AO237" i="1" s="1"/>
  <c r="AL237" i="1"/>
  <c r="AJ237" i="1"/>
  <c r="AA237" i="1"/>
  <c r="Z237" i="1"/>
  <c r="Y237" i="1"/>
  <c r="P237" i="1"/>
  <c r="AQ237" i="1" s="1"/>
  <c r="O237" i="1"/>
  <c r="F237" i="1"/>
  <c r="BB239" i="1"/>
  <c r="AZ239" i="1"/>
  <c r="AX239" i="1"/>
  <c r="AW239" i="1"/>
  <c r="AV239" i="1"/>
  <c r="AS239" i="1"/>
  <c r="AM239" i="1"/>
  <c r="AO239" i="1" s="1"/>
  <c r="AL239" i="1"/>
  <c r="AJ239" i="1"/>
  <c r="AA239" i="1"/>
  <c r="Z239" i="1"/>
  <c r="Y239" i="1"/>
  <c r="P239" i="1"/>
  <c r="AQ239" i="1" s="1"/>
  <c r="O239" i="1"/>
  <c r="F239" i="1"/>
  <c r="BB210" i="1"/>
  <c r="AZ210" i="1"/>
  <c r="AX210" i="1"/>
  <c r="AW210" i="1"/>
  <c r="AV210" i="1"/>
  <c r="AS210" i="1"/>
  <c r="AM210" i="1"/>
  <c r="AO210" i="1" s="1"/>
  <c r="AL210" i="1"/>
  <c r="AJ210" i="1"/>
  <c r="AA210" i="1"/>
  <c r="Z210" i="1"/>
  <c r="Y210" i="1"/>
  <c r="P210" i="1"/>
  <c r="AQ210" i="1" s="1"/>
  <c r="O210" i="1"/>
  <c r="AD210" i="1" s="1"/>
  <c r="F210" i="1"/>
  <c r="BB246" i="1"/>
  <c r="AZ246" i="1"/>
  <c r="AX246" i="1"/>
  <c r="AW246" i="1"/>
  <c r="AV246" i="1"/>
  <c r="AS246" i="1"/>
  <c r="AM246" i="1"/>
  <c r="AO246" i="1" s="1"/>
  <c r="AL246" i="1"/>
  <c r="AJ246" i="1"/>
  <c r="AA246" i="1"/>
  <c r="Z246" i="1"/>
  <c r="Y246" i="1"/>
  <c r="P246" i="1"/>
  <c r="AQ246" i="1" s="1"/>
  <c r="O246" i="1"/>
  <c r="F246" i="1"/>
  <c r="BB242" i="1"/>
  <c r="AZ242" i="1"/>
  <c r="AX242" i="1"/>
  <c r="AW242" i="1"/>
  <c r="AV242" i="1"/>
  <c r="AS242" i="1"/>
  <c r="AM242" i="1"/>
  <c r="AO242" i="1" s="1"/>
  <c r="AL242" i="1"/>
  <c r="AJ242" i="1"/>
  <c r="AA242" i="1"/>
  <c r="Z242" i="1"/>
  <c r="Y242" i="1"/>
  <c r="P242" i="1"/>
  <c r="AQ242" i="1" s="1"/>
  <c r="O242" i="1"/>
  <c r="AC242" i="1" s="1"/>
  <c r="F242" i="1"/>
  <c r="BB243" i="1"/>
  <c r="AZ243" i="1"/>
  <c r="AX243" i="1"/>
  <c r="AW243" i="1"/>
  <c r="AV243" i="1"/>
  <c r="AS243" i="1"/>
  <c r="AM243" i="1"/>
  <c r="AO243" i="1" s="1"/>
  <c r="AL243" i="1"/>
  <c r="AJ243" i="1"/>
  <c r="AA243" i="1"/>
  <c r="Z243" i="1"/>
  <c r="Y243" i="1"/>
  <c r="P243" i="1"/>
  <c r="AQ243" i="1" s="1"/>
  <c r="O243" i="1"/>
  <c r="F243" i="1"/>
  <c r="BB241" i="1"/>
  <c r="AZ241" i="1"/>
  <c r="AX241" i="1"/>
  <c r="AW241" i="1"/>
  <c r="AV241" i="1"/>
  <c r="AS241" i="1"/>
  <c r="AM241" i="1"/>
  <c r="AO241" i="1" s="1"/>
  <c r="AL241" i="1"/>
  <c r="AJ241" i="1"/>
  <c r="AA241" i="1"/>
  <c r="Z241" i="1"/>
  <c r="Y241" i="1"/>
  <c r="P241" i="1"/>
  <c r="AQ241" i="1" s="1"/>
  <c r="O241" i="1"/>
  <c r="BF241" i="1" s="1"/>
  <c r="F241" i="1"/>
  <c r="BB238" i="1"/>
  <c r="AZ238" i="1"/>
  <c r="AX238" i="1"/>
  <c r="AW238" i="1"/>
  <c r="AV238" i="1"/>
  <c r="AS238" i="1"/>
  <c r="AM238" i="1"/>
  <c r="AO238" i="1" s="1"/>
  <c r="AL238" i="1"/>
  <c r="AJ238" i="1"/>
  <c r="AA238" i="1"/>
  <c r="Z238" i="1"/>
  <c r="Y238" i="1"/>
  <c r="P238" i="1"/>
  <c r="AQ238" i="1" s="1"/>
  <c r="O238" i="1"/>
  <c r="F238" i="1"/>
  <c r="BB236" i="1"/>
  <c r="AZ236" i="1"/>
  <c r="AX236" i="1"/>
  <c r="AW236" i="1"/>
  <c r="AV236" i="1"/>
  <c r="AS236" i="1"/>
  <c r="AM236" i="1"/>
  <c r="AO236" i="1" s="1"/>
  <c r="AL236" i="1"/>
  <c r="AJ236" i="1"/>
  <c r="AA236" i="1"/>
  <c r="Z236" i="1"/>
  <c r="Y236" i="1"/>
  <c r="P236" i="1"/>
  <c r="AQ236" i="1" s="1"/>
  <c r="O236" i="1"/>
  <c r="AC236" i="1" s="1"/>
  <c r="F236" i="1"/>
  <c r="BB232" i="1"/>
  <c r="AZ232" i="1"/>
  <c r="AX232" i="1"/>
  <c r="AW232" i="1"/>
  <c r="AV232" i="1"/>
  <c r="AS232" i="1"/>
  <c r="AM232" i="1"/>
  <c r="AO232" i="1" s="1"/>
  <c r="AL232" i="1"/>
  <c r="AJ232" i="1"/>
  <c r="AA232" i="1"/>
  <c r="Z232" i="1"/>
  <c r="Y232" i="1"/>
  <c r="P232" i="1"/>
  <c r="AQ232" i="1" s="1"/>
  <c r="O232" i="1"/>
  <c r="AB232" i="1" s="1"/>
  <c r="F232" i="1"/>
  <c r="BB230" i="1"/>
  <c r="AZ230" i="1"/>
  <c r="AX230" i="1"/>
  <c r="AW230" i="1"/>
  <c r="AV230" i="1"/>
  <c r="AS230" i="1"/>
  <c r="AM230" i="1"/>
  <c r="AO230" i="1" s="1"/>
  <c r="AL230" i="1"/>
  <c r="AJ230" i="1"/>
  <c r="AA230" i="1"/>
  <c r="Z230" i="1"/>
  <c r="Y230" i="1"/>
  <c r="P230" i="1"/>
  <c r="AQ230" i="1" s="1"/>
  <c r="O230" i="1"/>
  <c r="F230" i="1"/>
  <c r="BB225" i="1"/>
  <c r="AZ225" i="1"/>
  <c r="AX225" i="1"/>
  <c r="AW225" i="1"/>
  <c r="AV225" i="1"/>
  <c r="AS225" i="1"/>
  <c r="AM225" i="1"/>
  <c r="AO225" i="1" s="1"/>
  <c r="AL225" i="1"/>
  <c r="AJ225" i="1"/>
  <c r="AA225" i="1"/>
  <c r="Z225" i="1"/>
  <c r="Y225" i="1"/>
  <c r="P225" i="1"/>
  <c r="AQ225" i="1" s="1"/>
  <c r="O225" i="1"/>
  <c r="AD225" i="1" s="1"/>
  <c r="F225" i="1"/>
  <c r="BB223" i="1"/>
  <c r="AZ223" i="1"/>
  <c r="AX223" i="1"/>
  <c r="AW223" i="1"/>
  <c r="AV223" i="1"/>
  <c r="AS223" i="1"/>
  <c r="AM223" i="1"/>
  <c r="AO223" i="1" s="1"/>
  <c r="AL223" i="1"/>
  <c r="AJ223" i="1"/>
  <c r="AA223" i="1"/>
  <c r="Z223" i="1"/>
  <c r="Y223" i="1"/>
  <c r="P223" i="1"/>
  <c r="AQ223" i="1" s="1"/>
  <c r="O223" i="1"/>
  <c r="F223" i="1"/>
  <c r="BB208" i="1"/>
  <c r="AZ208" i="1"/>
  <c r="AX208" i="1"/>
  <c r="AW208" i="1"/>
  <c r="AV208" i="1"/>
  <c r="AS208" i="1"/>
  <c r="AM208" i="1"/>
  <c r="AO208" i="1" s="1"/>
  <c r="AL208" i="1"/>
  <c r="AJ208" i="1"/>
  <c r="AA208" i="1"/>
  <c r="Z208" i="1"/>
  <c r="Y208" i="1"/>
  <c r="P208" i="1"/>
  <c r="AQ208" i="1" s="1"/>
  <c r="O208" i="1"/>
  <c r="AB208" i="1" s="1"/>
  <c r="F208" i="1"/>
  <c r="BB203" i="1"/>
  <c r="AZ203" i="1"/>
  <c r="AX203" i="1"/>
  <c r="AW203" i="1"/>
  <c r="AV203" i="1"/>
  <c r="AS203" i="1"/>
  <c r="AM203" i="1"/>
  <c r="AO203" i="1" s="1"/>
  <c r="AL203" i="1"/>
  <c r="AJ203" i="1"/>
  <c r="AA203" i="1"/>
  <c r="Z203" i="1"/>
  <c r="Y203" i="1"/>
  <c r="P203" i="1"/>
  <c r="AQ203" i="1" s="1"/>
  <c r="O203" i="1"/>
  <c r="AB203" i="1" s="1"/>
  <c r="F203" i="1"/>
  <c r="BB207" i="1"/>
  <c r="AZ207" i="1"/>
  <c r="AX207" i="1"/>
  <c r="AW207" i="1"/>
  <c r="AV207" i="1"/>
  <c r="AS207" i="1"/>
  <c r="AM207" i="1"/>
  <c r="AO207" i="1" s="1"/>
  <c r="AL207" i="1"/>
  <c r="AJ207" i="1"/>
  <c r="AA207" i="1"/>
  <c r="Z207" i="1"/>
  <c r="Y207" i="1"/>
  <c r="P207" i="1"/>
  <c r="AQ207" i="1" s="1"/>
  <c r="O207" i="1"/>
  <c r="AC207" i="1" s="1"/>
  <c r="F207" i="1"/>
  <c r="BB192" i="1"/>
  <c r="AZ192" i="1"/>
  <c r="AX192" i="1"/>
  <c r="AW192" i="1"/>
  <c r="AV192" i="1"/>
  <c r="AS192" i="1"/>
  <c r="AM192" i="1"/>
  <c r="AO192" i="1" s="1"/>
  <c r="AL192" i="1"/>
  <c r="AJ192" i="1"/>
  <c r="AA192" i="1"/>
  <c r="Z192" i="1"/>
  <c r="Y192" i="1"/>
  <c r="P192" i="1"/>
  <c r="AQ192" i="1" s="1"/>
  <c r="O192" i="1"/>
  <c r="F192" i="1"/>
  <c r="BB185" i="1"/>
  <c r="AZ185" i="1"/>
  <c r="AX185" i="1"/>
  <c r="AW185" i="1"/>
  <c r="AV185" i="1"/>
  <c r="AS185" i="1"/>
  <c r="AM185" i="1"/>
  <c r="AO185" i="1" s="1"/>
  <c r="AL185" i="1"/>
  <c r="AJ185" i="1"/>
  <c r="AA185" i="1"/>
  <c r="Z185" i="1"/>
  <c r="Y185" i="1"/>
  <c r="P185" i="1"/>
  <c r="AQ185" i="1" s="1"/>
  <c r="O185" i="1"/>
  <c r="AB185" i="1" s="1"/>
  <c r="F185" i="1"/>
  <c r="BB200" i="1"/>
  <c r="AZ200" i="1"/>
  <c r="AX200" i="1"/>
  <c r="AW200" i="1"/>
  <c r="AV200" i="1"/>
  <c r="AS200" i="1"/>
  <c r="AM200" i="1"/>
  <c r="AO200" i="1" s="1"/>
  <c r="AJ200" i="1"/>
  <c r="AA200" i="1"/>
  <c r="Z200" i="1"/>
  <c r="Y200" i="1"/>
  <c r="P200" i="1"/>
  <c r="AQ200" i="1" s="1"/>
  <c r="O200" i="1"/>
  <c r="AB200" i="1" s="1"/>
  <c r="F200" i="1"/>
  <c r="BB197" i="1"/>
  <c r="AZ197" i="1"/>
  <c r="AX197" i="1"/>
  <c r="AW197" i="1"/>
  <c r="AV197" i="1"/>
  <c r="AS197" i="1"/>
  <c r="AM197" i="1"/>
  <c r="AO197" i="1" s="1"/>
  <c r="AL197" i="1"/>
  <c r="AJ197" i="1"/>
  <c r="AA197" i="1"/>
  <c r="Z197" i="1"/>
  <c r="Y197" i="1"/>
  <c r="P197" i="1"/>
  <c r="AQ197" i="1" s="1"/>
  <c r="O197" i="1"/>
  <c r="AC197" i="1" s="1"/>
  <c r="F197" i="1"/>
  <c r="BB205" i="1"/>
  <c r="AZ205" i="1"/>
  <c r="AX205" i="1"/>
  <c r="AW205" i="1"/>
  <c r="AV205" i="1"/>
  <c r="AS205" i="1"/>
  <c r="AM205" i="1"/>
  <c r="AO205" i="1" s="1"/>
  <c r="AJ205" i="1"/>
  <c r="AA205" i="1"/>
  <c r="Z205" i="1"/>
  <c r="Y205" i="1"/>
  <c r="P205" i="1"/>
  <c r="AQ205" i="1" s="1"/>
  <c r="O205" i="1"/>
  <c r="F205" i="1"/>
  <c r="BB201" i="1"/>
  <c r="AZ201" i="1"/>
  <c r="AX201" i="1"/>
  <c r="AW201" i="1"/>
  <c r="AV201" i="1"/>
  <c r="AS201" i="1"/>
  <c r="AM201" i="1"/>
  <c r="AO201" i="1" s="1"/>
  <c r="AL201" i="1"/>
  <c r="AJ201" i="1"/>
  <c r="AA201" i="1"/>
  <c r="Z201" i="1"/>
  <c r="Y201" i="1"/>
  <c r="P201" i="1"/>
  <c r="AQ201" i="1" s="1"/>
  <c r="O201" i="1"/>
  <c r="AB201" i="1" s="1"/>
  <c r="F201" i="1"/>
  <c r="BB202" i="1"/>
  <c r="AZ202" i="1"/>
  <c r="AX202" i="1"/>
  <c r="AW202" i="1"/>
  <c r="AV202" i="1"/>
  <c r="AS202" i="1"/>
  <c r="AM202" i="1"/>
  <c r="AO202" i="1" s="1"/>
  <c r="AL202" i="1"/>
  <c r="AJ202" i="1"/>
  <c r="AA202" i="1"/>
  <c r="Z202" i="1"/>
  <c r="Y202" i="1"/>
  <c r="P202" i="1"/>
  <c r="AQ202" i="1" s="1"/>
  <c r="O202" i="1"/>
  <c r="AC202" i="1" s="1"/>
  <c r="F202" i="1"/>
  <c r="BB194" i="1"/>
  <c r="AZ194" i="1"/>
  <c r="AX194" i="1"/>
  <c r="AW194" i="1"/>
  <c r="AV194" i="1"/>
  <c r="AS194" i="1"/>
  <c r="AM194" i="1"/>
  <c r="AO194" i="1" s="1"/>
  <c r="AL194" i="1"/>
  <c r="AJ194" i="1"/>
  <c r="AA194" i="1"/>
  <c r="Z194" i="1"/>
  <c r="Y194" i="1"/>
  <c r="P194" i="1"/>
  <c r="AQ194" i="1" s="1"/>
  <c r="O194" i="1"/>
  <c r="F194" i="1"/>
  <c r="BB191" i="1"/>
  <c r="AZ191" i="1"/>
  <c r="AX191" i="1"/>
  <c r="AW191" i="1"/>
  <c r="AV191" i="1"/>
  <c r="AS191" i="1"/>
  <c r="AM191" i="1"/>
  <c r="AO191" i="1" s="1"/>
  <c r="AL191" i="1"/>
  <c r="AJ191" i="1"/>
  <c r="AA191" i="1"/>
  <c r="Z191" i="1"/>
  <c r="Y191" i="1"/>
  <c r="P191" i="1"/>
  <c r="AQ191" i="1" s="1"/>
  <c r="O191" i="1"/>
  <c r="BF191" i="1" s="1"/>
  <c r="F191" i="1"/>
  <c r="BB190" i="1"/>
  <c r="AZ190" i="1"/>
  <c r="AX190" i="1"/>
  <c r="AW190" i="1"/>
  <c r="AV190" i="1"/>
  <c r="AS190" i="1"/>
  <c r="AM190" i="1"/>
  <c r="AO190" i="1" s="1"/>
  <c r="AL190" i="1"/>
  <c r="AJ190" i="1"/>
  <c r="AA190" i="1"/>
  <c r="Z190" i="1"/>
  <c r="Y190" i="1"/>
  <c r="P190" i="1"/>
  <c r="AQ190" i="1" s="1"/>
  <c r="O190" i="1"/>
  <c r="AB190" i="1" s="1"/>
  <c r="F190" i="1"/>
  <c r="BB204" i="1"/>
  <c r="AZ204" i="1"/>
  <c r="AX204" i="1"/>
  <c r="AW204" i="1"/>
  <c r="AV204" i="1"/>
  <c r="AS204" i="1"/>
  <c r="AM204" i="1"/>
  <c r="AO204" i="1" s="1"/>
  <c r="AL204" i="1"/>
  <c r="AJ204" i="1"/>
  <c r="AA204" i="1"/>
  <c r="Z204" i="1"/>
  <c r="Y204" i="1"/>
  <c r="P204" i="1"/>
  <c r="AQ204" i="1" s="1"/>
  <c r="O204" i="1"/>
  <c r="AC204" i="1" s="1"/>
  <c r="F204" i="1"/>
  <c r="BB195" i="1"/>
  <c r="AZ195" i="1"/>
  <c r="AX195" i="1"/>
  <c r="AW195" i="1"/>
  <c r="AV195" i="1"/>
  <c r="AS195" i="1"/>
  <c r="AM195" i="1"/>
  <c r="AO195" i="1" s="1"/>
  <c r="AL195" i="1"/>
  <c r="AJ195" i="1"/>
  <c r="AA195" i="1"/>
  <c r="Z195" i="1"/>
  <c r="Y195" i="1"/>
  <c r="P195" i="1"/>
  <c r="AQ195" i="1" s="1"/>
  <c r="O195" i="1"/>
  <c r="F195" i="1"/>
  <c r="BB198" i="1"/>
  <c r="AZ198" i="1"/>
  <c r="AX198" i="1"/>
  <c r="AW198" i="1"/>
  <c r="AV198" i="1"/>
  <c r="AS198" i="1"/>
  <c r="AM198" i="1"/>
  <c r="AO198" i="1" s="1"/>
  <c r="AL198" i="1"/>
  <c r="AJ198" i="1"/>
  <c r="AA198" i="1"/>
  <c r="Z198" i="1"/>
  <c r="Y198" i="1"/>
  <c r="P198" i="1"/>
  <c r="AQ198" i="1" s="1"/>
  <c r="O198" i="1"/>
  <c r="AC198" i="1" s="1"/>
  <c r="F198" i="1"/>
  <c r="BB199" i="1"/>
  <c r="AZ199" i="1"/>
  <c r="AX199" i="1"/>
  <c r="AW199" i="1"/>
  <c r="AV199" i="1"/>
  <c r="AS199" i="1"/>
  <c r="AM199" i="1"/>
  <c r="AO199" i="1" s="1"/>
  <c r="AL199" i="1"/>
  <c r="AJ199" i="1"/>
  <c r="AA199" i="1"/>
  <c r="Z199" i="1"/>
  <c r="Y199" i="1"/>
  <c r="P199" i="1"/>
  <c r="AQ199" i="1" s="1"/>
  <c r="O199" i="1"/>
  <c r="AB199" i="1" s="1"/>
  <c r="F199" i="1"/>
  <c r="BB186" i="1"/>
  <c r="AZ186" i="1"/>
  <c r="AX186" i="1"/>
  <c r="AW186" i="1"/>
  <c r="AV186" i="1"/>
  <c r="AS186" i="1"/>
  <c r="AM186" i="1"/>
  <c r="AO186" i="1" s="1"/>
  <c r="AL186" i="1"/>
  <c r="AJ186" i="1"/>
  <c r="AA186" i="1"/>
  <c r="Z186" i="1"/>
  <c r="Y186" i="1"/>
  <c r="P186" i="1"/>
  <c r="AQ186" i="1" s="1"/>
  <c r="O186" i="1"/>
  <c r="AC186" i="1" s="1"/>
  <c r="F186" i="1"/>
  <c r="BB184" i="1"/>
  <c r="AZ184" i="1"/>
  <c r="AX184" i="1"/>
  <c r="AW184" i="1"/>
  <c r="AV184" i="1"/>
  <c r="AS184" i="1"/>
  <c r="AM184" i="1"/>
  <c r="AO184" i="1" s="1"/>
  <c r="AL184" i="1"/>
  <c r="AJ184" i="1"/>
  <c r="AA184" i="1"/>
  <c r="Z184" i="1"/>
  <c r="Y184" i="1"/>
  <c r="P184" i="1"/>
  <c r="AQ184" i="1" s="1"/>
  <c r="O184" i="1"/>
  <c r="F184" i="1"/>
  <c r="BB183" i="1"/>
  <c r="AZ183" i="1"/>
  <c r="AX183" i="1"/>
  <c r="AW183" i="1"/>
  <c r="AV183" i="1"/>
  <c r="AS183" i="1"/>
  <c r="AM183" i="1"/>
  <c r="AO183" i="1" s="1"/>
  <c r="AL183" i="1"/>
  <c r="AJ183" i="1"/>
  <c r="AA183" i="1"/>
  <c r="Z183" i="1"/>
  <c r="Y183" i="1"/>
  <c r="P183" i="1"/>
  <c r="AQ183" i="1" s="1"/>
  <c r="O183" i="1"/>
  <c r="AD183" i="1" s="1"/>
  <c r="F183" i="1"/>
  <c r="BB170" i="1"/>
  <c r="AZ170" i="1"/>
  <c r="AX170" i="1"/>
  <c r="AW170" i="1"/>
  <c r="AV170" i="1"/>
  <c r="AS170" i="1"/>
  <c r="AM170" i="1"/>
  <c r="AO170" i="1" s="1"/>
  <c r="AL170" i="1"/>
  <c r="AJ170" i="1"/>
  <c r="AA170" i="1"/>
  <c r="Z170" i="1"/>
  <c r="Y170" i="1"/>
  <c r="P170" i="1"/>
  <c r="AQ170" i="1" s="1"/>
  <c r="O170" i="1"/>
  <c r="AB170" i="1" s="1"/>
  <c r="F170" i="1"/>
  <c r="BB180" i="1"/>
  <c r="AZ180" i="1"/>
  <c r="AX180" i="1"/>
  <c r="AW180" i="1"/>
  <c r="AV180" i="1"/>
  <c r="AS180" i="1"/>
  <c r="AM180" i="1"/>
  <c r="AO180" i="1" s="1"/>
  <c r="AL180" i="1"/>
  <c r="AJ180" i="1"/>
  <c r="AA180" i="1"/>
  <c r="Z180" i="1"/>
  <c r="Y180" i="1"/>
  <c r="P180" i="1"/>
  <c r="AQ180" i="1" s="1"/>
  <c r="O180" i="1"/>
  <c r="AC180" i="1" s="1"/>
  <c r="F180" i="1"/>
  <c r="BB182" i="1"/>
  <c r="AZ182" i="1"/>
  <c r="AX182" i="1"/>
  <c r="AW182" i="1"/>
  <c r="AV182" i="1"/>
  <c r="AS182" i="1"/>
  <c r="AM182" i="1"/>
  <c r="AO182" i="1" s="1"/>
  <c r="AL182" i="1"/>
  <c r="AJ182" i="1"/>
  <c r="AA182" i="1"/>
  <c r="Z182" i="1"/>
  <c r="Y182" i="1"/>
  <c r="P182" i="1"/>
  <c r="AQ182" i="1" s="1"/>
  <c r="O182" i="1"/>
  <c r="F182" i="1"/>
  <c r="BB177" i="1"/>
  <c r="AZ177" i="1"/>
  <c r="AX177" i="1"/>
  <c r="AW177" i="1"/>
  <c r="AV177" i="1"/>
  <c r="AS177" i="1"/>
  <c r="AM177" i="1"/>
  <c r="AO177" i="1" s="1"/>
  <c r="AL177" i="1"/>
  <c r="AJ177" i="1"/>
  <c r="AA177" i="1"/>
  <c r="Z177" i="1"/>
  <c r="Y177" i="1"/>
  <c r="P177" i="1"/>
  <c r="AQ177" i="1" s="1"/>
  <c r="O177" i="1"/>
  <c r="AB177" i="1" s="1"/>
  <c r="F177" i="1"/>
  <c r="BB178" i="1"/>
  <c r="AZ178" i="1"/>
  <c r="AX178" i="1"/>
  <c r="AW178" i="1"/>
  <c r="AV178" i="1"/>
  <c r="AS178" i="1"/>
  <c r="AM178" i="1"/>
  <c r="AO178" i="1" s="1"/>
  <c r="AL178" i="1"/>
  <c r="AJ178" i="1"/>
  <c r="AA178" i="1"/>
  <c r="Z178" i="1"/>
  <c r="Y178" i="1"/>
  <c r="P178" i="1"/>
  <c r="AQ178" i="1" s="1"/>
  <c r="O178" i="1"/>
  <c r="AB178" i="1" s="1"/>
  <c r="F178" i="1"/>
  <c r="BB169" i="1"/>
  <c r="AZ169" i="1"/>
  <c r="AX169" i="1"/>
  <c r="AW169" i="1"/>
  <c r="AV169" i="1"/>
  <c r="AS169" i="1"/>
  <c r="AM169" i="1"/>
  <c r="AO169" i="1" s="1"/>
  <c r="AL169" i="1"/>
  <c r="AJ169" i="1"/>
  <c r="AA169" i="1"/>
  <c r="Z169" i="1"/>
  <c r="Y169" i="1"/>
  <c r="P169" i="1"/>
  <c r="AQ169" i="1" s="1"/>
  <c r="O169" i="1"/>
  <c r="AC169" i="1" s="1"/>
  <c r="F169" i="1"/>
  <c r="BB142" i="1"/>
  <c r="AZ142" i="1"/>
  <c r="AX142" i="1"/>
  <c r="AW142" i="1"/>
  <c r="AV142" i="1"/>
  <c r="AS142" i="1"/>
  <c r="AM142" i="1"/>
  <c r="AO142" i="1" s="1"/>
  <c r="AL142" i="1"/>
  <c r="AJ142" i="1"/>
  <c r="AA142" i="1"/>
  <c r="Z142" i="1"/>
  <c r="Y142" i="1"/>
  <c r="P142" i="1"/>
  <c r="AQ142" i="1" s="1"/>
  <c r="O142" i="1"/>
  <c r="AC142" i="1" s="1"/>
  <c r="F142" i="1"/>
  <c r="BB147" i="1"/>
  <c r="AZ147" i="1"/>
  <c r="AX147" i="1"/>
  <c r="AW147" i="1"/>
  <c r="AV147" i="1"/>
  <c r="AS147" i="1"/>
  <c r="AM147" i="1"/>
  <c r="AO147" i="1" s="1"/>
  <c r="AL147" i="1"/>
  <c r="AJ147" i="1"/>
  <c r="AA147" i="1"/>
  <c r="Z147" i="1"/>
  <c r="Y147" i="1"/>
  <c r="P147" i="1"/>
  <c r="AQ147" i="1" s="1"/>
  <c r="O147" i="1"/>
  <c r="F147" i="1"/>
  <c r="BB145" i="1"/>
  <c r="AZ145" i="1"/>
  <c r="AX145" i="1"/>
  <c r="AW145" i="1"/>
  <c r="AV145" i="1"/>
  <c r="AS145" i="1"/>
  <c r="AM145" i="1"/>
  <c r="AO145" i="1" s="1"/>
  <c r="AL145" i="1"/>
  <c r="AJ145" i="1"/>
  <c r="AA145" i="1"/>
  <c r="Z145" i="1"/>
  <c r="Y145" i="1"/>
  <c r="P145" i="1"/>
  <c r="AQ145" i="1" s="1"/>
  <c r="O145" i="1"/>
  <c r="AB145" i="1" s="1"/>
  <c r="F145" i="1"/>
  <c r="BB156" i="1"/>
  <c r="AZ156" i="1"/>
  <c r="AX156" i="1"/>
  <c r="AW156" i="1"/>
  <c r="AV156" i="1"/>
  <c r="AS156" i="1"/>
  <c r="AM156" i="1"/>
  <c r="AO156" i="1" s="1"/>
  <c r="AL156" i="1"/>
  <c r="AJ156" i="1"/>
  <c r="AA156" i="1"/>
  <c r="Z156" i="1"/>
  <c r="Y156" i="1"/>
  <c r="P156" i="1"/>
  <c r="AQ156" i="1" s="1"/>
  <c r="O156" i="1"/>
  <c r="AB156" i="1" s="1"/>
  <c r="F156" i="1"/>
  <c r="BB162" i="1"/>
  <c r="AZ162" i="1"/>
  <c r="AX162" i="1"/>
  <c r="AW162" i="1"/>
  <c r="AV162" i="1"/>
  <c r="AS162" i="1"/>
  <c r="AM162" i="1"/>
  <c r="AO162" i="1" s="1"/>
  <c r="AL162" i="1"/>
  <c r="AJ162" i="1"/>
  <c r="AA162" i="1"/>
  <c r="Z162" i="1"/>
  <c r="Y162" i="1"/>
  <c r="P162" i="1"/>
  <c r="AQ162" i="1" s="1"/>
  <c r="O162" i="1"/>
  <c r="AC162" i="1" s="1"/>
  <c r="F162" i="1"/>
  <c r="BB160" i="1"/>
  <c r="AZ160" i="1"/>
  <c r="AX160" i="1"/>
  <c r="AW160" i="1"/>
  <c r="AV160" i="1"/>
  <c r="AS160" i="1"/>
  <c r="AM160" i="1"/>
  <c r="AO160" i="1" s="1"/>
  <c r="AL160" i="1"/>
  <c r="AJ160" i="1"/>
  <c r="AA160" i="1"/>
  <c r="Z160" i="1"/>
  <c r="Y160" i="1"/>
  <c r="P160" i="1"/>
  <c r="AQ160" i="1" s="1"/>
  <c r="O160" i="1"/>
  <c r="F160" i="1"/>
  <c r="BB166" i="1"/>
  <c r="AZ166" i="1"/>
  <c r="AX166" i="1"/>
  <c r="AW166" i="1"/>
  <c r="AV166" i="1"/>
  <c r="AS166" i="1"/>
  <c r="AM166" i="1"/>
  <c r="AO166" i="1" s="1"/>
  <c r="AL166" i="1"/>
  <c r="AJ166" i="1"/>
  <c r="AA166" i="1"/>
  <c r="Z166" i="1"/>
  <c r="Y166" i="1"/>
  <c r="P166" i="1"/>
  <c r="AQ166" i="1" s="1"/>
  <c r="O166" i="1"/>
  <c r="AD166" i="1" s="1"/>
  <c r="F166" i="1"/>
  <c r="BB157" i="1"/>
  <c r="AZ157" i="1"/>
  <c r="AX157" i="1"/>
  <c r="AW157" i="1"/>
  <c r="AV157" i="1"/>
  <c r="AS157" i="1"/>
  <c r="AM157" i="1"/>
  <c r="AO157" i="1" s="1"/>
  <c r="AL157" i="1"/>
  <c r="AJ157" i="1"/>
  <c r="AA157" i="1"/>
  <c r="Z157" i="1"/>
  <c r="Y157" i="1"/>
  <c r="P157" i="1"/>
  <c r="AQ157" i="1" s="1"/>
  <c r="O157" i="1"/>
  <c r="AB157" i="1" s="1"/>
  <c r="F157" i="1"/>
  <c r="BB158" i="1"/>
  <c r="AZ158" i="1"/>
  <c r="AX158" i="1"/>
  <c r="AW158" i="1"/>
  <c r="AV158" i="1"/>
  <c r="AS158" i="1"/>
  <c r="AM158" i="1"/>
  <c r="AO158" i="1" s="1"/>
  <c r="AL158" i="1"/>
  <c r="AJ158" i="1"/>
  <c r="AA158" i="1"/>
  <c r="Z158" i="1"/>
  <c r="Y158" i="1"/>
  <c r="P158" i="1"/>
  <c r="AQ158" i="1" s="1"/>
  <c r="O158" i="1"/>
  <c r="AC158" i="1" s="1"/>
  <c r="F158" i="1"/>
  <c r="BB155" i="1"/>
  <c r="AZ155" i="1"/>
  <c r="AX155" i="1"/>
  <c r="AW155" i="1"/>
  <c r="AV155" i="1"/>
  <c r="AS155" i="1"/>
  <c r="AM155" i="1"/>
  <c r="AO155" i="1" s="1"/>
  <c r="AL155" i="1"/>
  <c r="AJ155" i="1"/>
  <c r="AA155" i="1"/>
  <c r="Z155" i="1"/>
  <c r="Y155" i="1"/>
  <c r="P155" i="1"/>
  <c r="AQ155" i="1" s="1"/>
  <c r="O155" i="1"/>
  <c r="BF155" i="1" s="1"/>
  <c r="F155" i="1"/>
  <c r="BB144" i="1"/>
  <c r="AZ144" i="1"/>
  <c r="AX144" i="1"/>
  <c r="AW144" i="1"/>
  <c r="AV144" i="1"/>
  <c r="AS144" i="1"/>
  <c r="AM144" i="1"/>
  <c r="AO144" i="1" s="1"/>
  <c r="AL144" i="1"/>
  <c r="AJ144" i="1"/>
  <c r="AA144" i="1"/>
  <c r="Z144" i="1"/>
  <c r="Y144" i="1"/>
  <c r="P144" i="1"/>
  <c r="AQ144" i="1" s="1"/>
  <c r="O144" i="1"/>
  <c r="AD144" i="1" s="1"/>
  <c r="F144" i="1"/>
  <c r="BB137" i="1"/>
  <c r="AZ137" i="1"/>
  <c r="AX137" i="1"/>
  <c r="AW137" i="1"/>
  <c r="AV137" i="1"/>
  <c r="AS137" i="1"/>
  <c r="AM137" i="1"/>
  <c r="AO137" i="1" s="1"/>
  <c r="AL137" i="1"/>
  <c r="AJ137" i="1"/>
  <c r="AA137" i="1"/>
  <c r="Z137" i="1"/>
  <c r="Y137" i="1"/>
  <c r="P137" i="1"/>
  <c r="AQ137" i="1" s="1"/>
  <c r="O137" i="1"/>
  <c r="AC137" i="1" s="1"/>
  <c r="F137" i="1"/>
  <c r="BB140" i="1"/>
  <c r="AZ140" i="1"/>
  <c r="AX140" i="1"/>
  <c r="AW140" i="1"/>
  <c r="AV140" i="1"/>
  <c r="AS140" i="1"/>
  <c r="AM140" i="1"/>
  <c r="AO140" i="1" s="1"/>
  <c r="AL140" i="1"/>
  <c r="AJ140" i="1"/>
  <c r="AA140" i="1"/>
  <c r="Z140" i="1"/>
  <c r="Y140" i="1"/>
  <c r="P140" i="1"/>
  <c r="AQ140" i="1" s="1"/>
  <c r="O140" i="1"/>
  <c r="AB140" i="1" s="1"/>
  <c r="F140" i="1"/>
  <c r="BB124" i="1"/>
  <c r="AZ124" i="1"/>
  <c r="AX124" i="1"/>
  <c r="AW124" i="1"/>
  <c r="AV124" i="1"/>
  <c r="AM124" i="1"/>
  <c r="AO124" i="1" s="1"/>
  <c r="AL124" i="1"/>
  <c r="AJ124" i="1"/>
  <c r="AA124" i="1"/>
  <c r="Z124" i="1"/>
  <c r="Y124" i="1"/>
  <c r="P124" i="1"/>
  <c r="AQ124" i="1" s="1"/>
  <c r="O124" i="1"/>
  <c r="AD124" i="1" s="1"/>
  <c r="F124" i="1"/>
  <c r="BB121" i="1"/>
  <c r="AZ121" i="1"/>
  <c r="AX121" i="1"/>
  <c r="AW121" i="1"/>
  <c r="AV121" i="1"/>
  <c r="AM121" i="1"/>
  <c r="AO121" i="1" s="1"/>
  <c r="AL121" i="1"/>
  <c r="AJ121" i="1"/>
  <c r="AA121" i="1"/>
  <c r="Z121" i="1"/>
  <c r="Y121" i="1"/>
  <c r="P121" i="1"/>
  <c r="AQ121" i="1" s="1"/>
  <c r="O121" i="1"/>
  <c r="AD121" i="1" s="1"/>
  <c r="F121" i="1"/>
  <c r="BB120" i="1"/>
  <c r="AZ120" i="1"/>
  <c r="AX120" i="1"/>
  <c r="AW120" i="1"/>
  <c r="AV120" i="1"/>
  <c r="AM120" i="1"/>
  <c r="AO120" i="1" s="1"/>
  <c r="AL120" i="1"/>
  <c r="AJ120" i="1"/>
  <c r="AA120" i="1"/>
  <c r="Z120" i="1"/>
  <c r="Y120" i="1"/>
  <c r="P120" i="1"/>
  <c r="AQ120" i="1" s="1"/>
  <c r="O120" i="1"/>
  <c r="AD120" i="1" s="1"/>
  <c r="F120" i="1"/>
  <c r="BB118" i="1"/>
  <c r="AZ118" i="1"/>
  <c r="AX118" i="1"/>
  <c r="AW118" i="1"/>
  <c r="AV118" i="1"/>
  <c r="AM118" i="1"/>
  <c r="AO118" i="1" s="1"/>
  <c r="AL118" i="1"/>
  <c r="AJ118" i="1"/>
  <c r="AA118" i="1"/>
  <c r="Z118" i="1"/>
  <c r="Y118" i="1"/>
  <c r="P118" i="1"/>
  <c r="AQ118" i="1" s="1"/>
  <c r="O118" i="1"/>
  <c r="AD118" i="1" s="1"/>
  <c r="F118" i="1"/>
  <c r="BB115" i="1"/>
  <c r="AZ115" i="1"/>
  <c r="AX115" i="1"/>
  <c r="AW115" i="1"/>
  <c r="AV115" i="1"/>
  <c r="AM115" i="1"/>
  <c r="AO115" i="1" s="1"/>
  <c r="AL115" i="1"/>
  <c r="AJ115" i="1"/>
  <c r="AA115" i="1"/>
  <c r="Z115" i="1"/>
  <c r="Y115" i="1"/>
  <c r="P115" i="1"/>
  <c r="AQ115" i="1" s="1"/>
  <c r="O115" i="1"/>
  <c r="AD115" i="1" s="1"/>
  <c r="F115" i="1"/>
  <c r="BB114" i="1"/>
  <c r="AZ114" i="1"/>
  <c r="AX114" i="1"/>
  <c r="AW114" i="1"/>
  <c r="AV114" i="1"/>
  <c r="AS114" i="1"/>
  <c r="AM114" i="1"/>
  <c r="AO114" i="1" s="1"/>
  <c r="AL114" i="1"/>
  <c r="AJ114" i="1"/>
  <c r="AA114" i="1"/>
  <c r="Z114" i="1"/>
  <c r="Y114" i="1"/>
  <c r="P114" i="1"/>
  <c r="AQ114" i="1" s="1"/>
  <c r="O114" i="1"/>
  <c r="AD114" i="1" s="1"/>
  <c r="F114" i="1"/>
  <c r="BB112" i="1"/>
  <c r="AZ112" i="1"/>
  <c r="AX112" i="1"/>
  <c r="AW112" i="1"/>
  <c r="AV112" i="1"/>
  <c r="AS112" i="1"/>
  <c r="AM112" i="1"/>
  <c r="AO112" i="1" s="1"/>
  <c r="AL112" i="1"/>
  <c r="AJ112" i="1"/>
  <c r="AA112" i="1"/>
  <c r="Z112" i="1"/>
  <c r="Y112" i="1"/>
  <c r="P112" i="1"/>
  <c r="AQ112" i="1" s="1"/>
  <c r="O112" i="1"/>
  <c r="AB112" i="1" s="1"/>
  <c r="F112" i="1"/>
  <c r="BB105" i="1"/>
  <c r="AZ105" i="1"/>
  <c r="AX105" i="1"/>
  <c r="AW105" i="1"/>
  <c r="AV105" i="1"/>
  <c r="AS105" i="1"/>
  <c r="AM105" i="1"/>
  <c r="AO105" i="1" s="1"/>
  <c r="AL105" i="1"/>
  <c r="AJ105" i="1"/>
  <c r="AA105" i="1"/>
  <c r="Z105" i="1"/>
  <c r="Y105" i="1"/>
  <c r="P105" i="1"/>
  <c r="AQ105" i="1" s="1"/>
  <c r="O105" i="1"/>
  <c r="AC105" i="1" s="1"/>
  <c r="F105" i="1"/>
  <c r="BB103" i="1"/>
  <c r="AZ103" i="1"/>
  <c r="AX103" i="1"/>
  <c r="AW103" i="1"/>
  <c r="AV103" i="1"/>
  <c r="AS103" i="1"/>
  <c r="AM103" i="1"/>
  <c r="AO103" i="1" s="1"/>
  <c r="AL103" i="1"/>
  <c r="AJ103" i="1"/>
  <c r="AA103" i="1"/>
  <c r="Z103" i="1"/>
  <c r="Y103" i="1"/>
  <c r="P103" i="1"/>
  <c r="AQ103" i="1" s="1"/>
  <c r="O103" i="1"/>
  <c r="AB103" i="1" s="1"/>
  <c r="F103" i="1"/>
  <c r="BB104" i="1"/>
  <c r="AZ104" i="1"/>
  <c r="AX104" i="1"/>
  <c r="AW104" i="1"/>
  <c r="AV104" i="1"/>
  <c r="AS104" i="1"/>
  <c r="AM104" i="1"/>
  <c r="AO104" i="1" s="1"/>
  <c r="AL104" i="1"/>
  <c r="AJ104" i="1"/>
  <c r="AA104" i="1"/>
  <c r="Z104" i="1"/>
  <c r="Y104" i="1"/>
  <c r="P104" i="1"/>
  <c r="AQ104" i="1" s="1"/>
  <c r="O104" i="1"/>
  <c r="AC104" i="1" s="1"/>
  <c r="F104" i="1"/>
  <c r="BB101" i="1"/>
  <c r="AZ101" i="1"/>
  <c r="AX101" i="1"/>
  <c r="AW101" i="1"/>
  <c r="AV101" i="1"/>
  <c r="AS101" i="1"/>
  <c r="AM101" i="1"/>
  <c r="AO101" i="1" s="1"/>
  <c r="AL101" i="1"/>
  <c r="AJ101" i="1"/>
  <c r="AA101" i="1"/>
  <c r="Z101" i="1"/>
  <c r="Y101" i="1"/>
  <c r="P101" i="1"/>
  <c r="AQ101" i="1" s="1"/>
  <c r="O101" i="1"/>
  <c r="F101" i="1"/>
  <c r="BB99" i="1"/>
  <c r="AZ99" i="1"/>
  <c r="AX99" i="1"/>
  <c r="AW99" i="1"/>
  <c r="AV99" i="1"/>
  <c r="AS99" i="1"/>
  <c r="AM99" i="1"/>
  <c r="AO99" i="1" s="1"/>
  <c r="AL99" i="1"/>
  <c r="AJ99" i="1"/>
  <c r="AA99" i="1"/>
  <c r="Z99" i="1"/>
  <c r="Y99" i="1"/>
  <c r="P99" i="1"/>
  <c r="AQ99" i="1" s="1"/>
  <c r="O99" i="1"/>
  <c r="AC99" i="1" s="1"/>
  <c r="F99" i="1"/>
  <c r="BB93" i="1"/>
  <c r="AZ93" i="1"/>
  <c r="AX93" i="1"/>
  <c r="AW93" i="1"/>
  <c r="AV93" i="1"/>
  <c r="AS93" i="1"/>
  <c r="AM93" i="1"/>
  <c r="AO93" i="1" s="1"/>
  <c r="AL93" i="1"/>
  <c r="AJ93" i="1"/>
  <c r="AA93" i="1"/>
  <c r="Z93" i="1"/>
  <c r="Y93" i="1"/>
  <c r="P93" i="1"/>
  <c r="AQ93" i="1" s="1"/>
  <c r="O93" i="1"/>
  <c r="AB93" i="1" s="1"/>
  <c r="F93" i="1"/>
  <c r="BB72" i="1"/>
  <c r="AZ72" i="1"/>
  <c r="AX72" i="1"/>
  <c r="AW72" i="1"/>
  <c r="AV72" i="1"/>
  <c r="AS72" i="1"/>
  <c r="AM72" i="1"/>
  <c r="AO72" i="1" s="1"/>
  <c r="AL72" i="1"/>
  <c r="AJ72" i="1"/>
  <c r="AA72" i="1"/>
  <c r="Z72" i="1"/>
  <c r="Y72" i="1"/>
  <c r="P72" i="1"/>
  <c r="AQ72" i="1" s="1"/>
  <c r="O72" i="1"/>
  <c r="AC72" i="1" s="1"/>
  <c r="F72" i="1"/>
  <c r="BB96" i="1"/>
  <c r="AZ96" i="1"/>
  <c r="AX96" i="1"/>
  <c r="AW96" i="1"/>
  <c r="AV96" i="1"/>
  <c r="AS96" i="1"/>
  <c r="AM96" i="1"/>
  <c r="AO96" i="1" s="1"/>
  <c r="AL96" i="1"/>
  <c r="AJ96" i="1"/>
  <c r="AA96" i="1"/>
  <c r="Z96" i="1"/>
  <c r="Y96" i="1"/>
  <c r="P96" i="1"/>
  <c r="AQ96" i="1" s="1"/>
  <c r="O96" i="1"/>
  <c r="F96" i="1"/>
  <c r="BB328" i="1"/>
  <c r="AZ328" i="1"/>
  <c r="AW328" i="1"/>
  <c r="AV328" i="1"/>
  <c r="AS328" i="1"/>
  <c r="AM328" i="1"/>
  <c r="AO328" i="1" s="1"/>
  <c r="AL328" i="1"/>
  <c r="AJ328" i="1"/>
  <c r="AA328" i="1"/>
  <c r="Z328" i="1"/>
  <c r="Y328" i="1"/>
  <c r="P328" i="1"/>
  <c r="AQ328" i="1" s="1"/>
  <c r="O328" i="1"/>
  <c r="AX328" i="1" s="1"/>
  <c r="F328" i="1"/>
  <c r="BB131" i="1"/>
  <c r="AZ131" i="1"/>
  <c r="AW131" i="1"/>
  <c r="AV131" i="1"/>
  <c r="AS131" i="1"/>
  <c r="AM131" i="1"/>
  <c r="AO131" i="1" s="1"/>
  <c r="AL131" i="1"/>
  <c r="AJ131" i="1"/>
  <c r="AA131" i="1"/>
  <c r="Z131" i="1"/>
  <c r="Y131" i="1"/>
  <c r="P131" i="1"/>
  <c r="AQ131" i="1" s="1"/>
  <c r="O131" i="1"/>
  <c r="AB131" i="1" s="1"/>
  <c r="F131" i="1"/>
  <c r="BB285" i="1"/>
  <c r="AZ285" i="1"/>
  <c r="AX285" i="1"/>
  <c r="AW285" i="1"/>
  <c r="AV285" i="1"/>
  <c r="AS285" i="1"/>
  <c r="AM285" i="1"/>
  <c r="AO285" i="1" s="1"/>
  <c r="AL285" i="1"/>
  <c r="AJ285" i="1"/>
  <c r="AA285" i="1"/>
  <c r="Z285" i="1"/>
  <c r="Y285" i="1"/>
  <c r="P285" i="1"/>
  <c r="AQ285" i="1" s="1"/>
  <c r="O285" i="1"/>
  <c r="F285" i="1"/>
  <c r="BB88" i="1"/>
  <c r="AZ88" i="1"/>
  <c r="AX88" i="1"/>
  <c r="AW88" i="1"/>
  <c r="AV88" i="1"/>
  <c r="AS88" i="1"/>
  <c r="AM88" i="1"/>
  <c r="AO88" i="1" s="1"/>
  <c r="AL88" i="1"/>
  <c r="AJ88" i="1"/>
  <c r="AA88" i="1"/>
  <c r="Z88" i="1"/>
  <c r="Y88" i="1"/>
  <c r="P88" i="1"/>
  <c r="AQ88" i="1" s="1"/>
  <c r="O88" i="1"/>
  <c r="AC88" i="1" s="1"/>
  <c r="F88" i="1"/>
  <c r="BB87" i="1"/>
  <c r="AZ87" i="1"/>
  <c r="AX87" i="1"/>
  <c r="AW87" i="1"/>
  <c r="AV87" i="1"/>
  <c r="AS87" i="1"/>
  <c r="AM87" i="1"/>
  <c r="AO87" i="1" s="1"/>
  <c r="AL87" i="1"/>
  <c r="AJ87" i="1"/>
  <c r="AA87" i="1"/>
  <c r="Z87" i="1"/>
  <c r="Y87" i="1"/>
  <c r="P87" i="1"/>
  <c r="AQ87" i="1" s="1"/>
  <c r="O87" i="1"/>
  <c r="AB87" i="1" s="1"/>
  <c r="F87" i="1"/>
  <c r="BB86" i="1"/>
  <c r="AZ86" i="1"/>
  <c r="AX86" i="1"/>
  <c r="AW86" i="1"/>
  <c r="AV86" i="1"/>
  <c r="AS86" i="1"/>
  <c r="AM86" i="1"/>
  <c r="AO86" i="1" s="1"/>
  <c r="AL86" i="1"/>
  <c r="AJ86" i="1"/>
  <c r="AA86" i="1"/>
  <c r="Z86" i="1"/>
  <c r="Y86" i="1"/>
  <c r="P86" i="1"/>
  <c r="AQ86" i="1" s="1"/>
  <c r="O86" i="1"/>
  <c r="F86" i="1"/>
  <c r="BB83" i="1"/>
  <c r="AZ83" i="1"/>
  <c r="AX83" i="1"/>
  <c r="AW83" i="1"/>
  <c r="AV83" i="1"/>
  <c r="AS83" i="1"/>
  <c r="AM83" i="1"/>
  <c r="AO83" i="1" s="1"/>
  <c r="AL83" i="1"/>
  <c r="AJ83" i="1"/>
  <c r="AA83" i="1"/>
  <c r="Z83" i="1"/>
  <c r="Y83" i="1"/>
  <c r="P83" i="1"/>
  <c r="AQ83" i="1" s="1"/>
  <c r="O83" i="1"/>
  <c r="F83" i="1"/>
  <c r="BB95" i="1"/>
  <c r="AZ95" i="1"/>
  <c r="AX95" i="1"/>
  <c r="AW95" i="1"/>
  <c r="AV95" i="1"/>
  <c r="AS95" i="1"/>
  <c r="AM95" i="1"/>
  <c r="AO95" i="1" s="1"/>
  <c r="AL95" i="1"/>
  <c r="AJ95" i="1"/>
  <c r="AA95" i="1"/>
  <c r="Z95" i="1"/>
  <c r="Y95" i="1"/>
  <c r="P95" i="1"/>
  <c r="AQ95" i="1" s="1"/>
  <c r="O95" i="1"/>
  <c r="F95" i="1"/>
  <c r="BB94" i="1"/>
  <c r="AZ94" i="1"/>
  <c r="AX94" i="1"/>
  <c r="AW94" i="1"/>
  <c r="AV94" i="1"/>
  <c r="AS94" i="1"/>
  <c r="AM94" i="1"/>
  <c r="AO94" i="1" s="1"/>
  <c r="AL94" i="1"/>
  <c r="AJ94" i="1"/>
  <c r="AA94" i="1"/>
  <c r="Z94" i="1"/>
  <c r="Y94" i="1"/>
  <c r="P94" i="1"/>
  <c r="AQ94" i="1" s="1"/>
  <c r="O94" i="1"/>
  <c r="AB94" i="1" s="1"/>
  <c r="F94" i="1"/>
  <c r="BB100" i="1"/>
  <c r="AZ100" i="1"/>
  <c r="AX100" i="1"/>
  <c r="AW100" i="1"/>
  <c r="AV100" i="1"/>
  <c r="AS100" i="1"/>
  <c r="AM100" i="1"/>
  <c r="AO100" i="1" s="1"/>
  <c r="AL100" i="1"/>
  <c r="AJ100" i="1"/>
  <c r="AA100" i="1"/>
  <c r="Z100" i="1"/>
  <c r="Y100" i="1"/>
  <c r="P100" i="1"/>
  <c r="AQ100" i="1" s="1"/>
  <c r="O100" i="1"/>
  <c r="F100" i="1"/>
  <c r="BB92" i="1"/>
  <c r="AZ92" i="1"/>
  <c r="AX92" i="1"/>
  <c r="AW92" i="1"/>
  <c r="AV92" i="1"/>
  <c r="AS92" i="1"/>
  <c r="AM92" i="1"/>
  <c r="AO92" i="1" s="1"/>
  <c r="AL92" i="1"/>
  <c r="AJ92" i="1"/>
  <c r="AA92" i="1"/>
  <c r="Z92" i="1"/>
  <c r="Y92" i="1"/>
  <c r="P92" i="1"/>
  <c r="AQ92" i="1" s="1"/>
  <c r="O92" i="1"/>
  <c r="F92" i="1"/>
  <c r="BB106" i="1"/>
  <c r="AZ106" i="1"/>
  <c r="AX106" i="1"/>
  <c r="AW106" i="1"/>
  <c r="AV106" i="1"/>
  <c r="AS106" i="1"/>
  <c r="AM106" i="1"/>
  <c r="AO106" i="1" s="1"/>
  <c r="AL106" i="1"/>
  <c r="AJ106" i="1"/>
  <c r="AA106" i="1"/>
  <c r="Z106" i="1"/>
  <c r="Y106" i="1"/>
  <c r="P106" i="1"/>
  <c r="AQ106" i="1" s="1"/>
  <c r="O106" i="1"/>
  <c r="AC106" i="1" s="1"/>
  <c r="F106" i="1"/>
  <c r="BB97" i="1"/>
  <c r="AZ97" i="1"/>
  <c r="AX97" i="1"/>
  <c r="AW97" i="1"/>
  <c r="AV97" i="1"/>
  <c r="AS97" i="1"/>
  <c r="AM97" i="1"/>
  <c r="AO97" i="1" s="1"/>
  <c r="AL97" i="1"/>
  <c r="AJ97" i="1"/>
  <c r="AA97" i="1"/>
  <c r="Z97" i="1"/>
  <c r="Y97" i="1"/>
  <c r="P97" i="1"/>
  <c r="AQ97" i="1" s="1"/>
  <c r="O97" i="1"/>
  <c r="F97" i="1"/>
  <c r="BB90" i="1"/>
  <c r="AZ90" i="1"/>
  <c r="AX90" i="1"/>
  <c r="AW90" i="1"/>
  <c r="AV90" i="1"/>
  <c r="AS90" i="1"/>
  <c r="AM90" i="1"/>
  <c r="AO90" i="1" s="1"/>
  <c r="AL90" i="1"/>
  <c r="AJ90" i="1"/>
  <c r="AA90" i="1"/>
  <c r="Z90" i="1"/>
  <c r="Y90" i="1"/>
  <c r="P90" i="1"/>
  <c r="AQ90" i="1" s="1"/>
  <c r="O90" i="1"/>
  <c r="AC90" i="1" s="1"/>
  <c r="F90" i="1"/>
  <c r="BB84" i="1"/>
  <c r="AZ84" i="1"/>
  <c r="AX84" i="1"/>
  <c r="AW84" i="1"/>
  <c r="AV84" i="1"/>
  <c r="AS84" i="1"/>
  <c r="AM84" i="1"/>
  <c r="AO84" i="1" s="1"/>
  <c r="AL84" i="1"/>
  <c r="AJ84" i="1"/>
  <c r="AA84" i="1"/>
  <c r="Z84" i="1"/>
  <c r="Y84" i="1"/>
  <c r="P84" i="1"/>
  <c r="AQ84" i="1" s="1"/>
  <c r="O84" i="1"/>
  <c r="AB84" i="1" s="1"/>
  <c r="F84" i="1"/>
  <c r="BB91" i="1"/>
  <c r="AZ91" i="1"/>
  <c r="AX91" i="1"/>
  <c r="AW91" i="1"/>
  <c r="AV91" i="1"/>
  <c r="AS91" i="1"/>
  <c r="AM91" i="1"/>
  <c r="AO91" i="1" s="1"/>
  <c r="AL91" i="1"/>
  <c r="AJ91" i="1"/>
  <c r="AA91" i="1"/>
  <c r="Z91" i="1"/>
  <c r="Y91" i="1"/>
  <c r="P91" i="1"/>
  <c r="AQ91" i="1" s="1"/>
  <c r="O91" i="1"/>
  <c r="AC91" i="1" s="1"/>
  <c r="F91" i="1"/>
  <c r="BB263" i="1"/>
  <c r="AZ263" i="1"/>
  <c r="AX263" i="1"/>
  <c r="AW263" i="1"/>
  <c r="AV263" i="1"/>
  <c r="AS263" i="1"/>
  <c r="AM263" i="1"/>
  <c r="AO263" i="1" s="1"/>
  <c r="AL263" i="1"/>
  <c r="AJ263" i="1"/>
  <c r="AA263" i="1"/>
  <c r="Z263" i="1"/>
  <c r="Y263" i="1"/>
  <c r="P263" i="1"/>
  <c r="AQ263" i="1" s="1"/>
  <c r="O263" i="1"/>
  <c r="F263" i="1"/>
  <c r="BB82" i="1"/>
  <c r="AZ82" i="1"/>
  <c r="AX82" i="1"/>
  <c r="AW82" i="1"/>
  <c r="AV82" i="1"/>
  <c r="AS82" i="1"/>
  <c r="AM82" i="1"/>
  <c r="AO82" i="1" s="1"/>
  <c r="AL82" i="1"/>
  <c r="AJ82" i="1"/>
  <c r="AA82" i="1"/>
  <c r="Z82" i="1"/>
  <c r="Y82" i="1"/>
  <c r="P82" i="1"/>
  <c r="AQ82" i="1" s="1"/>
  <c r="O82" i="1"/>
  <c r="AC82" i="1" s="1"/>
  <c r="F82" i="1"/>
  <c r="BB102" i="1"/>
  <c r="AZ102" i="1"/>
  <c r="AX102" i="1"/>
  <c r="AW102" i="1"/>
  <c r="AV102" i="1"/>
  <c r="AS102" i="1"/>
  <c r="AM102" i="1"/>
  <c r="AO102" i="1" s="1"/>
  <c r="AL102" i="1"/>
  <c r="AJ102" i="1"/>
  <c r="AA102" i="1"/>
  <c r="Z102" i="1"/>
  <c r="Y102" i="1"/>
  <c r="P102" i="1"/>
  <c r="AQ102" i="1" s="1"/>
  <c r="O102" i="1"/>
  <c r="AB102" i="1" s="1"/>
  <c r="F102" i="1"/>
  <c r="BB85" i="1"/>
  <c r="AZ85" i="1"/>
  <c r="AX85" i="1"/>
  <c r="AW85" i="1"/>
  <c r="AV85" i="1"/>
  <c r="AS85" i="1"/>
  <c r="AM85" i="1"/>
  <c r="AO85" i="1" s="1"/>
  <c r="AL85" i="1"/>
  <c r="AJ85" i="1"/>
  <c r="AA85" i="1"/>
  <c r="Z85" i="1"/>
  <c r="Y85" i="1"/>
  <c r="P85" i="1"/>
  <c r="AQ85" i="1" s="1"/>
  <c r="O85" i="1"/>
  <c r="AC85" i="1" s="1"/>
  <c r="F85" i="1"/>
  <c r="BB78" i="1"/>
  <c r="AZ78" i="1"/>
  <c r="AX78" i="1"/>
  <c r="AW78" i="1"/>
  <c r="AV78" i="1"/>
  <c r="AS78" i="1"/>
  <c r="AM78" i="1"/>
  <c r="AO78" i="1" s="1"/>
  <c r="AL78" i="1"/>
  <c r="AJ78" i="1"/>
  <c r="AA78" i="1"/>
  <c r="Z78" i="1"/>
  <c r="Y78" i="1"/>
  <c r="P78" i="1"/>
  <c r="AQ78" i="1" s="1"/>
  <c r="O78" i="1"/>
  <c r="F78" i="1"/>
  <c r="BB77" i="1"/>
  <c r="AZ77" i="1"/>
  <c r="AX77" i="1"/>
  <c r="AW77" i="1"/>
  <c r="AV77" i="1"/>
  <c r="AS77" i="1"/>
  <c r="AM77" i="1"/>
  <c r="AO77" i="1" s="1"/>
  <c r="AL77" i="1"/>
  <c r="AJ77" i="1"/>
  <c r="AA77" i="1"/>
  <c r="Z77" i="1"/>
  <c r="Y77" i="1"/>
  <c r="P77" i="1"/>
  <c r="AQ77" i="1" s="1"/>
  <c r="O77" i="1"/>
  <c r="AC77" i="1" s="1"/>
  <c r="F77" i="1"/>
  <c r="BB67" i="1"/>
  <c r="AZ67" i="1"/>
  <c r="AX67" i="1"/>
  <c r="AW67" i="1"/>
  <c r="AV67" i="1"/>
  <c r="AM67" i="1"/>
  <c r="AO67" i="1" s="1"/>
  <c r="AL67" i="1"/>
  <c r="AJ67" i="1"/>
  <c r="AA67" i="1"/>
  <c r="Z67" i="1"/>
  <c r="Y67" i="1"/>
  <c r="P67" i="1"/>
  <c r="AQ67" i="1" s="1"/>
  <c r="O67" i="1"/>
  <c r="AB67" i="1" s="1"/>
  <c r="F67" i="1"/>
  <c r="BB235" i="1"/>
  <c r="AZ235" i="1"/>
  <c r="AX235" i="1"/>
  <c r="AW235" i="1"/>
  <c r="AV235" i="1"/>
  <c r="AS235" i="1"/>
  <c r="AM235" i="1"/>
  <c r="AO235" i="1" s="1"/>
  <c r="AL235" i="1"/>
  <c r="AJ235" i="1"/>
  <c r="AA235" i="1"/>
  <c r="Z235" i="1"/>
  <c r="Y235" i="1"/>
  <c r="P235" i="1"/>
  <c r="AQ235" i="1" s="1"/>
  <c r="O235" i="1"/>
  <c r="AC235" i="1" s="1"/>
  <c r="F235" i="1"/>
  <c r="BB60" i="1"/>
  <c r="AZ60" i="1"/>
  <c r="AX60" i="1"/>
  <c r="AW60" i="1"/>
  <c r="AV60" i="1"/>
  <c r="AM60" i="1"/>
  <c r="AO60" i="1" s="1"/>
  <c r="AL60" i="1"/>
  <c r="AJ60" i="1"/>
  <c r="AA60" i="1"/>
  <c r="Z60" i="1"/>
  <c r="Y60" i="1"/>
  <c r="P60" i="1"/>
  <c r="AQ60" i="1" s="1"/>
  <c r="O60" i="1"/>
  <c r="F60" i="1"/>
  <c r="BB193" i="1"/>
  <c r="AZ193" i="1"/>
  <c r="AX193" i="1"/>
  <c r="AW193" i="1"/>
  <c r="AV193" i="1"/>
  <c r="AS193" i="1"/>
  <c r="AM193" i="1"/>
  <c r="AO193" i="1" s="1"/>
  <c r="AL193" i="1"/>
  <c r="AJ193" i="1"/>
  <c r="AA193" i="1"/>
  <c r="Z193" i="1"/>
  <c r="Y193" i="1"/>
  <c r="P193" i="1"/>
  <c r="AQ193" i="1" s="1"/>
  <c r="O193" i="1"/>
  <c r="AC193" i="1" s="1"/>
  <c r="F193" i="1"/>
  <c r="BB119" i="1"/>
  <c r="AZ119" i="1"/>
  <c r="AX119" i="1"/>
  <c r="AW119" i="1"/>
  <c r="AV119" i="1"/>
  <c r="AM119" i="1"/>
  <c r="AO119" i="1" s="1"/>
  <c r="AL119" i="1"/>
  <c r="AJ119" i="1"/>
  <c r="AA119" i="1"/>
  <c r="Z119" i="1"/>
  <c r="Y119" i="1"/>
  <c r="P119" i="1"/>
  <c r="AQ119" i="1" s="1"/>
  <c r="O119" i="1"/>
  <c r="BF119" i="1" s="1"/>
  <c r="F119" i="1"/>
  <c r="BB66" i="1"/>
  <c r="AZ66" i="1"/>
  <c r="AX66" i="1"/>
  <c r="AW66" i="1"/>
  <c r="AV66" i="1"/>
  <c r="AS66" i="1"/>
  <c r="AM66" i="1"/>
  <c r="AO66" i="1" s="1"/>
  <c r="AL66" i="1"/>
  <c r="AJ66" i="1"/>
  <c r="AA66" i="1"/>
  <c r="Z66" i="1"/>
  <c r="Y66" i="1"/>
  <c r="P66" i="1"/>
  <c r="AQ66" i="1" s="1"/>
  <c r="O66" i="1"/>
  <c r="AB66" i="1" s="1"/>
  <c r="F66" i="1"/>
  <c r="BB65" i="1"/>
  <c r="AZ65" i="1"/>
  <c r="AX65" i="1"/>
  <c r="AW65" i="1"/>
  <c r="AV65" i="1"/>
  <c r="AS65" i="1"/>
  <c r="AM65" i="1"/>
  <c r="AO65" i="1" s="1"/>
  <c r="AL65" i="1"/>
  <c r="AJ65" i="1"/>
  <c r="AA65" i="1"/>
  <c r="Z65" i="1"/>
  <c r="Y65" i="1"/>
  <c r="P65" i="1"/>
  <c r="AQ65" i="1" s="1"/>
  <c r="O65" i="1"/>
  <c r="AC65" i="1" s="1"/>
  <c r="F65" i="1"/>
  <c r="BB64" i="1"/>
  <c r="AZ64" i="1"/>
  <c r="AX64" i="1"/>
  <c r="AW64" i="1"/>
  <c r="AV64" i="1"/>
  <c r="AM64" i="1"/>
  <c r="AO64" i="1" s="1"/>
  <c r="AL64" i="1"/>
  <c r="AJ64" i="1"/>
  <c r="AA64" i="1"/>
  <c r="Z64" i="1"/>
  <c r="Y64" i="1"/>
  <c r="P64" i="1"/>
  <c r="AQ64" i="1" s="1"/>
  <c r="O64" i="1"/>
  <c r="F64" i="1"/>
  <c r="BB63" i="1"/>
  <c r="AZ63" i="1"/>
  <c r="AX63" i="1"/>
  <c r="AW63" i="1"/>
  <c r="AV63" i="1"/>
  <c r="AM63" i="1"/>
  <c r="AO63" i="1" s="1"/>
  <c r="AL63" i="1"/>
  <c r="AJ63" i="1"/>
  <c r="AA63" i="1"/>
  <c r="Z63" i="1"/>
  <c r="Y63" i="1"/>
  <c r="P63" i="1"/>
  <c r="AQ63" i="1" s="1"/>
  <c r="O63" i="1"/>
  <c r="AC63" i="1" s="1"/>
  <c r="F63" i="1"/>
  <c r="BB62" i="1"/>
  <c r="AZ62" i="1"/>
  <c r="AX62" i="1"/>
  <c r="AW62" i="1"/>
  <c r="AV62" i="1"/>
  <c r="AM62" i="1"/>
  <c r="AO62" i="1" s="1"/>
  <c r="AL62" i="1"/>
  <c r="AJ62" i="1"/>
  <c r="AA62" i="1"/>
  <c r="Z62" i="1"/>
  <c r="Y62" i="1"/>
  <c r="P62" i="1"/>
  <c r="AQ62" i="1" s="1"/>
  <c r="O62" i="1"/>
  <c r="AB62" i="1" s="1"/>
  <c r="F62" i="1"/>
  <c r="BB61" i="1"/>
  <c r="AZ61" i="1"/>
  <c r="AX61" i="1"/>
  <c r="AW61" i="1"/>
  <c r="AV61" i="1"/>
  <c r="AM61" i="1"/>
  <c r="AO61" i="1" s="1"/>
  <c r="AL61" i="1"/>
  <c r="AJ61" i="1"/>
  <c r="AA61" i="1"/>
  <c r="Z61" i="1"/>
  <c r="Y61" i="1"/>
  <c r="AQ61" i="1"/>
  <c r="AC61" i="1"/>
  <c r="F61" i="1"/>
  <c r="BB89" i="1"/>
  <c r="AZ89" i="1"/>
  <c r="AX89" i="1"/>
  <c r="AW89" i="1"/>
  <c r="AV89" i="1"/>
  <c r="AS89" i="1"/>
  <c r="AM89" i="1"/>
  <c r="AO89" i="1" s="1"/>
  <c r="AL89" i="1"/>
  <c r="AJ89" i="1"/>
  <c r="AA89" i="1"/>
  <c r="Z89" i="1"/>
  <c r="Y89" i="1"/>
  <c r="P89" i="1"/>
  <c r="AQ89" i="1" s="1"/>
  <c r="O89" i="1"/>
  <c r="F89" i="1"/>
  <c r="BB52" i="1"/>
  <c r="AZ52" i="1"/>
  <c r="AX52" i="1"/>
  <c r="AW52" i="1"/>
  <c r="AV52" i="1"/>
  <c r="AM52" i="1"/>
  <c r="AO52" i="1" s="1"/>
  <c r="AL52" i="1"/>
  <c r="AJ52" i="1"/>
  <c r="AA52" i="1"/>
  <c r="Z52" i="1"/>
  <c r="Y52" i="1"/>
  <c r="P52" i="1"/>
  <c r="AQ52" i="1" s="1"/>
  <c r="O52" i="1"/>
  <c r="AC52" i="1" s="1"/>
  <c r="F52" i="1"/>
  <c r="BB51" i="1"/>
  <c r="AZ51" i="1"/>
  <c r="AX51" i="1"/>
  <c r="AW51" i="1"/>
  <c r="AV51" i="1"/>
  <c r="AM51" i="1"/>
  <c r="AO51" i="1" s="1"/>
  <c r="AL51" i="1"/>
  <c r="AJ51" i="1"/>
  <c r="AA51" i="1"/>
  <c r="Z51" i="1"/>
  <c r="Y51" i="1"/>
  <c r="P51" i="1"/>
  <c r="AQ51" i="1" s="1"/>
  <c r="O51" i="1"/>
  <c r="AB51" i="1" s="1"/>
  <c r="F51" i="1"/>
  <c r="BB59" i="1"/>
  <c r="AZ59" i="1"/>
  <c r="AX59" i="1"/>
  <c r="AW59" i="1"/>
  <c r="AV59" i="1"/>
  <c r="AS59" i="1"/>
  <c r="AM59" i="1"/>
  <c r="AO59" i="1" s="1"/>
  <c r="AL59" i="1"/>
  <c r="AJ59" i="1"/>
  <c r="AA59" i="1"/>
  <c r="Z59" i="1"/>
  <c r="Y59" i="1"/>
  <c r="P59" i="1"/>
  <c r="AQ59" i="1" s="1"/>
  <c r="O59" i="1"/>
  <c r="AC59" i="1" s="1"/>
  <c r="F59" i="1"/>
  <c r="BB16" i="1"/>
  <c r="AZ16" i="1"/>
  <c r="AX16" i="1"/>
  <c r="AW16" i="1"/>
  <c r="AV16" i="1"/>
  <c r="AS16" i="1"/>
  <c r="AM16" i="1"/>
  <c r="AO16" i="1" s="1"/>
  <c r="AL16" i="1"/>
  <c r="AJ16" i="1"/>
  <c r="AA16" i="1"/>
  <c r="Z16" i="1"/>
  <c r="Y16" i="1"/>
  <c r="P16" i="1"/>
  <c r="AQ16" i="1" s="1"/>
  <c r="O16" i="1"/>
  <c r="AC16" i="1" s="1"/>
  <c r="F16" i="1"/>
  <c r="BB139" i="1"/>
  <c r="AZ139" i="1"/>
  <c r="AX139" i="1"/>
  <c r="AW139" i="1"/>
  <c r="AV139" i="1"/>
  <c r="AS139" i="1"/>
  <c r="AM139" i="1"/>
  <c r="AO139" i="1" s="1"/>
  <c r="AL139" i="1"/>
  <c r="AJ139" i="1"/>
  <c r="AA139" i="1"/>
  <c r="Z139" i="1"/>
  <c r="Y139" i="1"/>
  <c r="P139" i="1"/>
  <c r="AQ139" i="1" s="1"/>
  <c r="O139" i="1"/>
  <c r="AB139" i="1" s="1"/>
  <c r="F139" i="1"/>
  <c r="BB27" i="1"/>
  <c r="AZ27" i="1"/>
  <c r="AX27" i="1"/>
  <c r="AW27" i="1"/>
  <c r="AV27" i="1"/>
  <c r="AS27" i="1"/>
  <c r="AM27" i="1"/>
  <c r="AO27" i="1" s="1"/>
  <c r="AL27" i="1"/>
  <c r="AJ27" i="1"/>
  <c r="AA27" i="1"/>
  <c r="Z27" i="1"/>
  <c r="Y27" i="1"/>
  <c r="P27" i="1"/>
  <c r="AQ27" i="1" s="1"/>
  <c r="O27" i="1"/>
  <c r="BF27" i="1" s="1"/>
  <c r="F27" i="1"/>
  <c r="BB26" i="1"/>
  <c r="AZ26" i="1"/>
  <c r="AX26" i="1"/>
  <c r="AW26" i="1"/>
  <c r="AV26" i="1"/>
  <c r="AS26" i="1"/>
  <c r="AM26" i="1"/>
  <c r="AO26" i="1" s="1"/>
  <c r="AL26" i="1"/>
  <c r="AJ26" i="1"/>
  <c r="AA26" i="1"/>
  <c r="Z26" i="1"/>
  <c r="Y26" i="1"/>
  <c r="P26" i="1"/>
  <c r="AQ26" i="1" s="1"/>
  <c r="O26" i="1"/>
  <c r="BF26" i="1" s="1"/>
  <c r="F26" i="1"/>
  <c r="BB21" i="1"/>
  <c r="AZ21" i="1"/>
  <c r="AX21" i="1"/>
  <c r="AW21" i="1"/>
  <c r="AV21" i="1"/>
  <c r="AS21" i="1"/>
  <c r="AM21" i="1"/>
  <c r="AO21" i="1" s="1"/>
  <c r="AL21" i="1"/>
  <c r="AJ21" i="1"/>
  <c r="AA21" i="1"/>
  <c r="Z21" i="1"/>
  <c r="Y21" i="1"/>
  <c r="P21" i="1"/>
  <c r="AQ21" i="1" s="1"/>
  <c r="O21" i="1"/>
  <c r="AB21" i="1" s="1"/>
  <c r="F21" i="1"/>
  <c r="BB19" i="1"/>
  <c r="AZ19" i="1"/>
  <c r="AX19" i="1"/>
  <c r="AW19" i="1"/>
  <c r="AV19" i="1"/>
  <c r="AS19" i="1"/>
  <c r="AM19" i="1"/>
  <c r="AO19" i="1" s="1"/>
  <c r="AL19" i="1"/>
  <c r="AJ19" i="1"/>
  <c r="AA19" i="1"/>
  <c r="Z19" i="1"/>
  <c r="Y19" i="1"/>
  <c r="P19" i="1"/>
  <c r="AQ19" i="1" s="1"/>
  <c r="O19" i="1"/>
  <c r="AB19" i="1" s="1"/>
  <c r="F19" i="1"/>
  <c r="BB17" i="1"/>
  <c r="AZ17" i="1"/>
  <c r="AX17" i="1"/>
  <c r="AW17" i="1"/>
  <c r="AV17" i="1"/>
  <c r="AS17" i="1"/>
  <c r="AM17" i="1"/>
  <c r="AO17" i="1" s="1"/>
  <c r="AL17" i="1"/>
  <c r="AJ17" i="1"/>
  <c r="AA17" i="1"/>
  <c r="Z17" i="1"/>
  <c r="Y17" i="1"/>
  <c r="P17" i="1"/>
  <c r="AQ17" i="1" s="1"/>
  <c r="O17" i="1"/>
  <c r="BF17" i="1" s="1"/>
  <c r="F17" i="1"/>
  <c r="BB3" i="1"/>
  <c r="AZ3" i="1"/>
  <c r="AX3" i="1"/>
  <c r="AW3" i="1"/>
  <c r="AV3" i="1"/>
  <c r="AS3" i="1"/>
  <c r="AM3" i="1"/>
  <c r="AO3" i="1" s="1"/>
  <c r="AL3" i="1"/>
  <c r="AJ3" i="1"/>
  <c r="AA3" i="1"/>
  <c r="Z3" i="1"/>
  <c r="Y3" i="1"/>
  <c r="AQ3" i="1"/>
  <c r="BF3" i="1"/>
  <c r="BB18" i="1"/>
  <c r="AZ18" i="1"/>
  <c r="AX18" i="1"/>
  <c r="AW18" i="1"/>
  <c r="AV18" i="1"/>
  <c r="AS18" i="1"/>
  <c r="AM18" i="1"/>
  <c r="AO18" i="1" s="1"/>
  <c r="AL18" i="1"/>
  <c r="AJ18" i="1"/>
  <c r="AA18" i="1"/>
  <c r="Z18" i="1"/>
  <c r="Y18" i="1"/>
  <c r="P18" i="1"/>
  <c r="AQ18" i="1" s="1"/>
  <c r="O18" i="1"/>
  <c r="BF18" i="1" s="1"/>
  <c r="F18" i="1"/>
  <c r="BB23" i="1"/>
  <c r="AZ23" i="1"/>
  <c r="AX23" i="1"/>
  <c r="AW23" i="1"/>
  <c r="AV23" i="1"/>
  <c r="AS23" i="1"/>
  <c r="AM23" i="1"/>
  <c r="AO23" i="1" s="1"/>
  <c r="AL23" i="1"/>
  <c r="AJ23" i="1"/>
  <c r="AA23" i="1"/>
  <c r="Z23" i="1"/>
  <c r="Y23" i="1"/>
  <c r="P23" i="1"/>
  <c r="AQ23" i="1" s="1"/>
  <c r="O23" i="1"/>
  <c r="AB23" i="1" s="1"/>
  <c r="F23" i="1"/>
  <c r="BB14" i="1"/>
  <c r="AZ14" i="1"/>
  <c r="AX14" i="1"/>
  <c r="AW14" i="1"/>
  <c r="AV14" i="1"/>
  <c r="AS14" i="1"/>
  <c r="AM14" i="1"/>
  <c r="AO14" i="1" s="1"/>
  <c r="AL14" i="1"/>
  <c r="AJ14" i="1"/>
  <c r="AA14" i="1"/>
  <c r="Z14" i="1"/>
  <c r="Y14" i="1"/>
  <c r="P14" i="1"/>
  <c r="AQ14" i="1" s="1"/>
  <c r="O14" i="1"/>
  <c r="BF14" i="1" s="1"/>
  <c r="F14" i="1"/>
  <c r="BB25" i="1"/>
  <c r="AZ25" i="1"/>
  <c r="AX25" i="1"/>
  <c r="AW25" i="1"/>
  <c r="AV25" i="1"/>
  <c r="AS25" i="1"/>
  <c r="AM25" i="1"/>
  <c r="AO25" i="1" s="1"/>
  <c r="AL25" i="1"/>
  <c r="AJ25" i="1"/>
  <c r="AA25" i="1"/>
  <c r="Z25" i="1"/>
  <c r="Y25" i="1"/>
  <c r="P25" i="1"/>
  <c r="AQ25" i="1" s="1"/>
  <c r="O25" i="1"/>
  <c r="BF25" i="1" s="1"/>
  <c r="F25" i="1"/>
  <c r="BB8" i="1"/>
  <c r="AZ8" i="1"/>
  <c r="AX8" i="1"/>
  <c r="AW8" i="1"/>
  <c r="AV8" i="1"/>
  <c r="AS8" i="1"/>
  <c r="AM8" i="1"/>
  <c r="AO8" i="1" s="1"/>
  <c r="AL8" i="1"/>
  <c r="AJ8" i="1"/>
  <c r="AA8" i="1"/>
  <c r="Z8" i="1"/>
  <c r="Y8" i="1"/>
  <c r="P8" i="1"/>
  <c r="AQ8" i="1" s="1"/>
  <c r="O8" i="1"/>
  <c r="BF8" i="1" s="1"/>
  <c r="F8" i="1"/>
  <c r="BB24" i="1"/>
  <c r="AZ24" i="1"/>
  <c r="AX24" i="1"/>
  <c r="AW24" i="1"/>
  <c r="AV24" i="1"/>
  <c r="AS24" i="1"/>
  <c r="AM24" i="1"/>
  <c r="AO24" i="1" s="1"/>
  <c r="AL24" i="1"/>
  <c r="AJ24" i="1"/>
  <c r="AA24" i="1"/>
  <c r="Z24" i="1"/>
  <c r="Y24" i="1"/>
  <c r="P24" i="1"/>
  <c r="AQ24" i="1" s="1"/>
  <c r="O24" i="1"/>
  <c r="AB24" i="1" s="1"/>
  <c r="F24" i="1"/>
  <c r="BB5" i="1"/>
  <c r="AZ5" i="1"/>
  <c r="AX5" i="1"/>
  <c r="AW5" i="1"/>
  <c r="AV5" i="1"/>
  <c r="AS5" i="1"/>
  <c r="AM5" i="1"/>
  <c r="AO5" i="1" s="1"/>
  <c r="AL5" i="1"/>
  <c r="AJ5" i="1"/>
  <c r="AA5" i="1"/>
  <c r="Z5" i="1"/>
  <c r="Y5" i="1"/>
  <c r="P5" i="1"/>
  <c r="AQ5" i="1" s="1"/>
  <c r="O5" i="1"/>
  <c r="BF5" i="1" s="1"/>
  <c r="F5" i="1"/>
  <c r="BB4" i="1"/>
  <c r="AZ4" i="1"/>
  <c r="AX4" i="1"/>
  <c r="AW4" i="1"/>
  <c r="AV4" i="1"/>
  <c r="AS4" i="1"/>
  <c r="AM4" i="1"/>
  <c r="AO4" i="1" s="1"/>
  <c r="AL4" i="1"/>
  <c r="AJ4" i="1"/>
  <c r="AA4" i="1"/>
  <c r="Z4" i="1"/>
  <c r="Y4" i="1"/>
  <c r="P4" i="1"/>
  <c r="AQ4" i="1" s="1"/>
  <c r="O4" i="1"/>
  <c r="BF4" i="1" s="1"/>
  <c r="F4" i="1"/>
  <c r="BB6" i="1"/>
  <c r="AZ6" i="1"/>
  <c r="AX6" i="1"/>
  <c r="AW6" i="1"/>
  <c r="AV6" i="1"/>
  <c r="AS6" i="1"/>
  <c r="AM6" i="1"/>
  <c r="AO6" i="1" s="1"/>
  <c r="AL6" i="1"/>
  <c r="AJ6" i="1"/>
  <c r="AA6" i="1"/>
  <c r="Z6" i="1"/>
  <c r="Y6" i="1"/>
  <c r="P6" i="1"/>
  <c r="AQ6" i="1" s="1"/>
  <c r="O6" i="1"/>
  <c r="BF6" i="1" s="1"/>
  <c r="F6" i="1"/>
  <c r="BB7" i="1"/>
  <c r="AZ7" i="1"/>
  <c r="AX7" i="1"/>
  <c r="AW7" i="1"/>
  <c r="AV7" i="1"/>
  <c r="AS7" i="1"/>
  <c r="AM7" i="1"/>
  <c r="AO7" i="1" s="1"/>
  <c r="AL7" i="1"/>
  <c r="AJ7" i="1"/>
  <c r="AA7" i="1"/>
  <c r="Z7" i="1"/>
  <c r="Y7" i="1"/>
  <c r="P7" i="1"/>
  <c r="AQ7" i="1" s="1"/>
  <c r="O7" i="1"/>
  <c r="AB7" i="1" s="1"/>
  <c r="F7" i="1"/>
  <c r="BB20" i="1"/>
  <c r="AZ20" i="1"/>
  <c r="AX20" i="1"/>
  <c r="AW20" i="1"/>
  <c r="AV20" i="1"/>
  <c r="AS20" i="1"/>
  <c r="AM20" i="1"/>
  <c r="AO20" i="1" s="1"/>
  <c r="AL20" i="1"/>
  <c r="AJ20" i="1"/>
  <c r="AA20" i="1"/>
  <c r="Z20" i="1"/>
  <c r="Y20" i="1"/>
  <c r="P20" i="1"/>
  <c r="AQ20" i="1" s="1"/>
  <c r="O20" i="1"/>
  <c r="BF20" i="1" s="1"/>
  <c r="F20" i="1"/>
  <c r="BB2" i="1"/>
  <c r="AZ2" i="1"/>
  <c r="AX2" i="1"/>
  <c r="AW2" i="1"/>
  <c r="AV2" i="1"/>
  <c r="AS2" i="1"/>
  <c r="AM2" i="1"/>
  <c r="AO2" i="1" s="1"/>
  <c r="AL2" i="1"/>
  <c r="AJ2" i="1"/>
  <c r="AA2" i="1"/>
  <c r="Z2" i="1"/>
  <c r="Y2" i="1"/>
  <c r="P2" i="1"/>
  <c r="AQ2" i="1" s="1"/>
  <c r="O2" i="1"/>
  <c r="BF2" i="1" s="1"/>
  <c r="F2" i="1"/>
  <c r="BB126" i="1"/>
  <c r="AZ126" i="1"/>
  <c r="AX126" i="1"/>
  <c r="AW126" i="1"/>
  <c r="AV126" i="1"/>
  <c r="AS126" i="1"/>
  <c r="AM126" i="1"/>
  <c r="AO126" i="1" s="1"/>
  <c r="AL126" i="1"/>
  <c r="AJ126" i="1"/>
  <c r="AA126" i="1"/>
  <c r="Z126" i="1"/>
  <c r="Y126" i="1"/>
  <c r="P126" i="1"/>
  <c r="AQ126" i="1" s="1"/>
  <c r="O126" i="1"/>
  <c r="AB126" i="1" s="1"/>
  <c r="F126" i="1"/>
  <c r="BB110" i="1"/>
  <c r="AZ110" i="1"/>
  <c r="AX110" i="1"/>
  <c r="AW110" i="1"/>
  <c r="AV110" i="1"/>
  <c r="AS110" i="1"/>
  <c r="AM110" i="1"/>
  <c r="AO110" i="1" s="1"/>
  <c r="AL110" i="1"/>
  <c r="AJ110" i="1"/>
  <c r="AA110" i="1"/>
  <c r="Z110" i="1"/>
  <c r="Y110" i="1"/>
  <c r="P110" i="1"/>
  <c r="AQ110" i="1" s="1"/>
  <c r="O110" i="1"/>
  <c r="AB110" i="1" s="1"/>
  <c r="F110" i="1"/>
  <c r="BB117" i="1"/>
  <c r="AZ117" i="1"/>
  <c r="AX117" i="1"/>
  <c r="AW117" i="1"/>
  <c r="AV117" i="1"/>
  <c r="AS117" i="1"/>
  <c r="AM117" i="1"/>
  <c r="AO117" i="1" s="1"/>
  <c r="AL117" i="1"/>
  <c r="AJ117" i="1"/>
  <c r="AA117" i="1"/>
  <c r="Z117" i="1"/>
  <c r="Y117" i="1"/>
  <c r="P117" i="1"/>
  <c r="AQ117" i="1" s="1"/>
  <c r="O117" i="1"/>
  <c r="BF117" i="1" s="1"/>
  <c r="F117" i="1"/>
  <c r="BB113" i="1"/>
  <c r="AZ113" i="1"/>
  <c r="AX113" i="1"/>
  <c r="AW113" i="1"/>
  <c r="AV113" i="1"/>
  <c r="AS113" i="1"/>
  <c r="AM113" i="1"/>
  <c r="AO113" i="1" s="1"/>
  <c r="AL113" i="1"/>
  <c r="AJ113" i="1"/>
  <c r="AA113" i="1"/>
  <c r="Z113" i="1"/>
  <c r="Y113" i="1"/>
  <c r="P113" i="1"/>
  <c r="AQ113" i="1" s="1"/>
  <c r="O113" i="1"/>
  <c r="AB113" i="1" s="1"/>
  <c r="F113" i="1"/>
  <c r="BB57" i="1"/>
  <c r="AZ57" i="1"/>
  <c r="AX57" i="1"/>
  <c r="AW57" i="1"/>
  <c r="AV57" i="1"/>
  <c r="AS57" i="1"/>
  <c r="AM57" i="1"/>
  <c r="AO57" i="1" s="1"/>
  <c r="AL57" i="1"/>
  <c r="AJ57" i="1"/>
  <c r="AA57" i="1"/>
  <c r="Z57" i="1"/>
  <c r="Y57" i="1"/>
  <c r="P57" i="1"/>
  <c r="AQ57" i="1" s="1"/>
  <c r="O57" i="1"/>
  <c r="BF57" i="1" s="1"/>
  <c r="F57" i="1"/>
  <c r="BB56" i="1"/>
  <c r="AZ56" i="1"/>
  <c r="AX56" i="1"/>
  <c r="AW56" i="1"/>
  <c r="AV56" i="1"/>
  <c r="AS56" i="1"/>
  <c r="AM56" i="1"/>
  <c r="AO56" i="1" s="1"/>
  <c r="AL56" i="1"/>
  <c r="AJ56" i="1"/>
  <c r="AA56" i="1"/>
  <c r="Z56" i="1"/>
  <c r="Y56" i="1"/>
  <c r="P56" i="1"/>
  <c r="AQ56" i="1" s="1"/>
  <c r="O56" i="1"/>
  <c r="BF56" i="1" s="1"/>
  <c r="F56" i="1"/>
  <c r="BB12" i="1"/>
  <c r="AZ12" i="1"/>
  <c r="AX12" i="1"/>
  <c r="AW12" i="1"/>
  <c r="AV12" i="1"/>
  <c r="AS12" i="1"/>
  <c r="AM12" i="1"/>
  <c r="AO12" i="1" s="1"/>
  <c r="AL12" i="1"/>
  <c r="AJ12" i="1"/>
  <c r="AA12" i="1"/>
  <c r="Z12" i="1"/>
  <c r="Y12" i="1"/>
  <c r="P12" i="1"/>
  <c r="AQ12" i="1" s="1"/>
  <c r="O12" i="1"/>
  <c r="BF12" i="1" s="1"/>
  <c r="F12" i="1"/>
  <c r="BB127" i="1"/>
  <c r="AZ127" i="1"/>
  <c r="AX127" i="1"/>
  <c r="AW127" i="1"/>
  <c r="AV127" i="1"/>
  <c r="AS127" i="1"/>
  <c r="AM127" i="1"/>
  <c r="AO127" i="1" s="1"/>
  <c r="AL127" i="1"/>
  <c r="AJ127" i="1"/>
  <c r="AA127" i="1"/>
  <c r="Z127" i="1"/>
  <c r="Y127" i="1"/>
  <c r="P127" i="1"/>
  <c r="AQ127" i="1" s="1"/>
  <c r="O127" i="1"/>
  <c r="AB127" i="1" s="1"/>
  <c r="F127" i="1"/>
  <c r="BB111" i="1"/>
  <c r="AZ111" i="1"/>
  <c r="AX111" i="1"/>
  <c r="AW111" i="1"/>
  <c r="AV111" i="1"/>
  <c r="AS111" i="1"/>
  <c r="AM111" i="1"/>
  <c r="AO111" i="1" s="1"/>
  <c r="AL111" i="1"/>
  <c r="AJ111" i="1"/>
  <c r="AA111" i="1"/>
  <c r="Z111" i="1"/>
  <c r="Y111" i="1"/>
  <c r="P111" i="1"/>
  <c r="AQ111" i="1" s="1"/>
  <c r="O111" i="1"/>
  <c r="BF111" i="1" s="1"/>
  <c r="F111" i="1"/>
  <c r="BB98" i="1"/>
  <c r="AZ98" i="1"/>
  <c r="AX98" i="1"/>
  <c r="AW98" i="1"/>
  <c r="AV98" i="1"/>
  <c r="AS98" i="1"/>
  <c r="AM98" i="1"/>
  <c r="AO98" i="1" s="1"/>
  <c r="AL98" i="1"/>
  <c r="AJ98" i="1"/>
  <c r="AA98" i="1"/>
  <c r="Z98" i="1"/>
  <c r="Y98" i="1"/>
  <c r="P98" i="1"/>
  <c r="AQ98" i="1" s="1"/>
  <c r="O98" i="1"/>
  <c r="AB98" i="1" s="1"/>
  <c r="F98" i="1"/>
  <c r="BB58" i="1"/>
  <c r="AZ58" i="1"/>
  <c r="AX58" i="1"/>
  <c r="AW58" i="1"/>
  <c r="AV58" i="1"/>
  <c r="AM58" i="1"/>
  <c r="AO58" i="1" s="1"/>
  <c r="AL58" i="1"/>
  <c r="AJ58" i="1"/>
  <c r="AA58" i="1"/>
  <c r="Z58" i="1"/>
  <c r="Y58" i="1"/>
  <c r="P58" i="1"/>
  <c r="AQ58" i="1" s="1"/>
  <c r="O58" i="1"/>
  <c r="BF58" i="1" s="1"/>
  <c r="F58" i="1"/>
  <c r="BB13" i="1"/>
  <c r="AZ13" i="1"/>
  <c r="AX13" i="1"/>
  <c r="AW13" i="1"/>
  <c r="AV13" i="1"/>
  <c r="AS13" i="1"/>
  <c r="AM13" i="1"/>
  <c r="AO13" i="1" s="1"/>
  <c r="AL13" i="1"/>
  <c r="AJ13" i="1"/>
  <c r="AA13" i="1"/>
  <c r="Z13" i="1"/>
  <c r="Y13" i="1"/>
  <c r="P13" i="1"/>
  <c r="AQ13" i="1" s="1"/>
  <c r="O13" i="1"/>
  <c r="BF13" i="1" s="1"/>
  <c r="F13" i="1"/>
  <c r="BB164" i="1"/>
  <c r="AZ164" i="1"/>
  <c r="AX164" i="1"/>
  <c r="AW164" i="1"/>
  <c r="AV164" i="1"/>
  <c r="AS164" i="1"/>
  <c r="AL164" i="1"/>
  <c r="AA164" i="1"/>
  <c r="Z164" i="1"/>
  <c r="Y164" i="1"/>
  <c r="AJ164" i="1" s="1"/>
  <c r="P164" i="1"/>
  <c r="AQ164" i="1" s="1"/>
  <c r="O164" i="1"/>
  <c r="AB164" i="1" s="1"/>
  <c r="F164" i="1"/>
  <c r="BB15" i="1"/>
  <c r="AZ15" i="1"/>
  <c r="AX15" i="1"/>
  <c r="AW15" i="1"/>
  <c r="AV15" i="1"/>
  <c r="AS15" i="1"/>
  <c r="AM15" i="1"/>
  <c r="AO15" i="1" s="1"/>
  <c r="AL15" i="1"/>
  <c r="AJ15" i="1"/>
  <c r="AA15" i="1"/>
  <c r="Z15" i="1"/>
  <c r="Y15" i="1"/>
  <c r="P15" i="1"/>
  <c r="AQ15" i="1" s="1"/>
  <c r="O15" i="1"/>
  <c r="BF15" i="1" s="1"/>
  <c r="F15" i="1"/>
  <c r="BB116" i="1"/>
  <c r="AZ116" i="1"/>
  <c r="AX116" i="1"/>
  <c r="AW116" i="1"/>
  <c r="AV116" i="1"/>
  <c r="AS116" i="1"/>
  <c r="AM116" i="1"/>
  <c r="AO116" i="1" s="1"/>
  <c r="AL116" i="1"/>
  <c r="AJ116" i="1"/>
  <c r="AA116" i="1"/>
  <c r="Z116" i="1"/>
  <c r="Y116" i="1"/>
  <c r="P116" i="1"/>
  <c r="AQ116" i="1" s="1"/>
  <c r="O116" i="1"/>
  <c r="BF116" i="1" s="1"/>
  <c r="F116" i="1"/>
  <c r="BB122" i="1"/>
  <c r="AZ122" i="1"/>
  <c r="AX122" i="1"/>
  <c r="AW122" i="1"/>
  <c r="AV122" i="1"/>
  <c r="AS122" i="1"/>
  <c r="AM122" i="1"/>
  <c r="AO122" i="1" s="1"/>
  <c r="AL122" i="1"/>
  <c r="AJ122" i="1"/>
  <c r="AA122" i="1"/>
  <c r="Z122" i="1"/>
  <c r="Y122" i="1"/>
  <c r="P122" i="1"/>
  <c r="AQ122" i="1" s="1"/>
  <c r="O122" i="1"/>
  <c r="AB122" i="1" s="1"/>
  <c r="F122" i="1"/>
  <c r="BB55" i="1"/>
  <c r="AZ55" i="1"/>
  <c r="AX55" i="1"/>
  <c r="AW55" i="1"/>
  <c r="AV55" i="1"/>
  <c r="AM55" i="1"/>
  <c r="AO55" i="1" s="1"/>
  <c r="AL55" i="1"/>
  <c r="AJ55" i="1"/>
  <c r="AA55" i="1"/>
  <c r="Z55" i="1"/>
  <c r="Y55" i="1"/>
  <c r="P55" i="1"/>
  <c r="AQ55" i="1" s="1"/>
  <c r="O55" i="1"/>
  <c r="BF55" i="1" s="1"/>
  <c r="F55" i="1"/>
  <c r="BC253" i="1" l="1"/>
  <c r="AE267" i="1"/>
  <c r="AG244" i="1"/>
  <c r="BC330" i="1"/>
  <c r="BC328" i="1"/>
  <c r="BC115" i="1"/>
  <c r="BC120" i="1"/>
  <c r="BA331" i="1"/>
  <c r="BA121" i="1"/>
  <c r="BC114" i="1"/>
  <c r="BC198" i="1"/>
  <c r="AD201" i="1"/>
  <c r="AG201" i="1" s="1"/>
  <c r="BA85" i="1"/>
  <c r="BC181" i="1"/>
  <c r="AE201" i="1"/>
  <c r="BC106" i="1"/>
  <c r="AF236" i="1"/>
  <c r="AB242" i="1"/>
  <c r="AE242" i="1" s="1"/>
  <c r="AD19" i="1"/>
  <c r="AG19" i="1" s="1"/>
  <c r="BA19" i="1"/>
  <c r="BA90" i="1"/>
  <c r="BA106" i="1"/>
  <c r="AF180" i="1"/>
  <c r="BC183" i="1"/>
  <c r="BA270" i="1"/>
  <c r="AE249" i="1"/>
  <c r="BA294" i="1"/>
  <c r="BA330" i="1"/>
  <c r="BC80" i="1"/>
  <c r="BA323" i="1"/>
  <c r="BC74" i="1"/>
  <c r="AG166" i="1"/>
  <c r="BC8" i="1"/>
  <c r="BA3" i="1"/>
  <c r="BA97" i="1"/>
  <c r="BA243" i="1"/>
  <c r="BA290" i="1"/>
  <c r="AG114" i="1"/>
  <c r="AD202" i="1"/>
  <c r="AG202" i="1" s="1"/>
  <c r="AC201" i="1"/>
  <c r="AF201" i="1" s="1"/>
  <c r="BA246" i="1"/>
  <c r="BA249" i="1"/>
  <c r="AD292" i="1"/>
  <c r="AG292" i="1" s="1"/>
  <c r="AB329" i="1"/>
  <c r="AE329" i="1" s="1"/>
  <c r="AB326" i="1"/>
  <c r="AE326" i="1" s="1"/>
  <c r="AB106" i="1"/>
  <c r="AE106" i="1" s="1"/>
  <c r="BA166" i="1"/>
  <c r="BC13" i="1"/>
  <c r="AC24" i="1"/>
  <c r="AF24" i="1" s="1"/>
  <c r="BA17" i="1"/>
  <c r="BC77" i="1"/>
  <c r="BA82" i="1"/>
  <c r="BA91" i="1"/>
  <c r="AC87" i="1"/>
  <c r="AF87" i="1" s="1"/>
  <c r="BA105" i="1"/>
  <c r="BA114" i="1"/>
  <c r="BA124" i="1"/>
  <c r="BA142" i="1"/>
  <c r="BC248" i="1"/>
  <c r="BA181" i="1"/>
  <c r="BA278" i="1"/>
  <c r="AC297" i="1"/>
  <c r="AF297" i="1" s="1"/>
  <c r="AC331" i="1"/>
  <c r="AF331" i="1" s="1"/>
  <c r="AC313" i="1"/>
  <c r="AF313" i="1" s="1"/>
  <c r="BC314" i="1"/>
  <c r="BC321" i="1"/>
  <c r="BA321" i="1"/>
  <c r="AC212" i="1"/>
  <c r="AF212" i="1" s="1"/>
  <c r="BA68" i="1"/>
  <c r="BA141" i="1"/>
  <c r="BD17" i="1"/>
  <c r="BG17" i="1" s="1"/>
  <c r="BH17" i="1" s="1"/>
  <c r="AF77" i="1"/>
  <c r="BC4" i="1"/>
  <c r="AC8" i="1"/>
  <c r="AF8" i="1" s="1"/>
  <c r="BC63" i="1"/>
  <c r="BC116" i="1"/>
  <c r="BA13" i="1"/>
  <c r="BC126" i="1"/>
  <c r="AD52" i="1"/>
  <c r="AG52" i="1" s="1"/>
  <c r="BA52" i="1"/>
  <c r="BA77" i="1"/>
  <c r="BC82" i="1"/>
  <c r="AC94" i="1"/>
  <c r="AF94" i="1" s="1"/>
  <c r="AE93" i="1"/>
  <c r="BC105" i="1"/>
  <c r="BC124" i="1"/>
  <c r="AE140" i="1"/>
  <c r="AC155" i="1"/>
  <c r="AF155" i="1" s="1"/>
  <c r="BA204" i="1"/>
  <c r="BF201" i="1"/>
  <c r="BA197" i="1"/>
  <c r="BA207" i="1"/>
  <c r="BC245" i="1"/>
  <c r="AE258" i="1"/>
  <c r="BA272" i="1"/>
  <c r="BC290" i="1"/>
  <c r="AC286" i="1"/>
  <c r="AF286" i="1" s="1"/>
  <c r="BD282" i="1"/>
  <c r="BC282" i="1"/>
  <c r="AD300" i="1"/>
  <c r="AG300" i="1" s="1"/>
  <c r="AE315" i="1"/>
  <c r="BA319" i="1"/>
  <c r="BC138" i="1"/>
  <c r="BA7" i="1"/>
  <c r="BC3" i="1"/>
  <c r="AC19" i="1"/>
  <c r="AF19" i="1" s="1"/>
  <c r="AF63" i="1"/>
  <c r="BA64" i="1"/>
  <c r="BD91" i="1"/>
  <c r="BA86" i="1"/>
  <c r="BA72" i="1"/>
  <c r="AE112" i="1"/>
  <c r="BA115" i="1"/>
  <c r="BA158" i="1"/>
  <c r="BD166" i="1"/>
  <c r="BC166" i="1"/>
  <c r="AF162" i="1"/>
  <c r="BC145" i="1"/>
  <c r="BA186" i="1"/>
  <c r="BF190" i="1"/>
  <c r="BC225" i="1"/>
  <c r="BD230" i="1"/>
  <c r="BC238" i="1"/>
  <c r="BA240" i="1"/>
  <c r="BC168" i="1"/>
  <c r="AD245" i="1"/>
  <c r="AG245" i="1" s="1"/>
  <c r="BA245" i="1"/>
  <c r="BC318" i="1"/>
  <c r="BA318" i="1"/>
  <c r="BC128" i="1"/>
  <c r="AB212" i="1"/>
  <c r="AE212" i="1" s="1"/>
  <c r="BF212" i="1"/>
  <c r="BC280" i="1"/>
  <c r="BC246" i="1"/>
  <c r="BC210" i="1"/>
  <c r="AD270" i="1"/>
  <c r="AG270" i="1" s="1"/>
  <c r="AB272" i="1"/>
  <c r="AE272" i="1" s="1"/>
  <c r="BC327" i="1"/>
  <c r="AB301" i="1"/>
  <c r="AE301" i="1" s="1"/>
  <c r="BA302" i="1"/>
  <c r="BA134" i="1"/>
  <c r="BC133" i="1"/>
  <c r="AD313" i="1"/>
  <c r="AG313" i="1" s="1"/>
  <c r="AD326" i="1"/>
  <c r="AG326" i="1" s="1"/>
  <c r="AB316" i="1"/>
  <c r="AE316" i="1" s="1"/>
  <c r="BC76" i="1"/>
  <c r="AC164" i="1"/>
  <c r="AF164" i="1" s="1"/>
  <c r="AB56" i="1"/>
  <c r="AE56" i="1" s="1"/>
  <c r="BA113" i="1"/>
  <c r="AC126" i="1"/>
  <c r="AF126" i="1" s="1"/>
  <c r="AD8" i="1"/>
  <c r="AG8" i="1" s="1"/>
  <c r="BF16" i="1"/>
  <c r="BA59" i="1"/>
  <c r="BC193" i="1"/>
  <c r="AD235" i="1"/>
  <c r="AG235" i="1" s="1"/>
  <c r="BA235" i="1"/>
  <c r="BA95" i="1"/>
  <c r="BA328" i="1"/>
  <c r="BA104" i="1"/>
  <c r="AC103" i="1"/>
  <c r="AF103" i="1" s="1"/>
  <c r="BD120" i="1"/>
  <c r="AD155" i="1"/>
  <c r="AG155" i="1" s="1"/>
  <c r="BA155" i="1"/>
  <c r="BA169" i="1"/>
  <c r="BD183" i="1"/>
  <c r="AD190" i="1"/>
  <c r="AG190" i="1" s="1"/>
  <c r="BD197" i="1"/>
  <c r="BD200" i="1"/>
  <c r="BA279" i="1"/>
  <c r="BD286" i="1"/>
  <c r="BA314" i="1"/>
  <c r="BF320" i="1"/>
  <c r="BA196" i="1"/>
  <c r="AB80" i="1"/>
  <c r="AE80" i="1" s="1"/>
  <c r="BC135" i="1"/>
  <c r="AD164" i="1"/>
  <c r="AG164" i="1" s="1"/>
  <c r="BD58" i="1"/>
  <c r="BG58" i="1" s="1"/>
  <c r="BH58" i="1" s="1"/>
  <c r="AD126" i="1"/>
  <c r="AG126" i="1" s="1"/>
  <c r="BA23" i="1"/>
  <c r="BC21" i="1"/>
  <c r="BD139" i="1"/>
  <c r="AF16" i="1"/>
  <c r="BC16" i="1"/>
  <c r="BA65" i="1"/>
  <c r="BA99" i="1"/>
  <c r="AC112" i="1"/>
  <c r="AF112" i="1" s="1"/>
  <c r="BA118" i="1"/>
  <c r="BF170" i="1"/>
  <c r="AD198" i="1"/>
  <c r="AG198" i="1" s="1"/>
  <c r="BA198" i="1"/>
  <c r="BD191" i="1"/>
  <c r="BG191" i="1" s="1"/>
  <c r="BH191" i="1" s="1"/>
  <c r="AF202" i="1"/>
  <c r="BC185" i="1"/>
  <c r="BA232" i="1"/>
  <c r="BC236" i="1"/>
  <c r="BA238" i="1"/>
  <c r="AB222" i="1"/>
  <c r="AE222" i="1" s="1"/>
  <c r="BA125" i="1"/>
  <c r="AC245" i="1"/>
  <c r="AF245" i="1" s="1"/>
  <c r="AF270" i="1"/>
  <c r="AF272" i="1"/>
  <c r="AD329" i="1"/>
  <c r="AG329" i="1" s="1"/>
  <c r="BC329" i="1"/>
  <c r="AD299" i="1"/>
  <c r="AG299" i="1" s="1"/>
  <c r="BD300" i="1"/>
  <c r="BA303" i="1"/>
  <c r="BA133" i="1"/>
  <c r="BA310" i="1"/>
  <c r="AC311" i="1"/>
  <c r="AF311" i="1" s="1"/>
  <c r="BA312" i="1"/>
  <c r="AC80" i="1"/>
  <c r="AF80" i="1" s="1"/>
  <c r="BA80" i="1"/>
  <c r="BA128" i="1"/>
  <c r="AC135" i="1"/>
  <c r="AF135" i="1" s="1"/>
  <c r="AE70" i="1"/>
  <c r="BA70" i="1"/>
  <c r="AE122" i="1"/>
  <c r="AD98" i="1"/>
  <c r="AG98" i="1" s="1"/>
  <c r="BA111" i="1"/>
  <c r="AC12" i="1"/>
  <c r="AF12" i="1" s="1"/>
  <c r="BC12" i="1"/>
  <c r="BC56" i="1"/>
  <c r="BC117" i="1"/>
  <c r="AC110" i="1"/>
  <c r="AF110" i="1" s="1"/>
  <c r="AB2" i="1"/>
  <c r="AE2" i="1" s="1"/>
  <c r="BA6" i="1"/>
  <c r="BA5" i="1"/>
  <c r="AB8" i="1"/>
  <c r="AE8" i="1" s="1"/>
  <c r="BA25" i="1"/>
  <c r="BA14" i="1"/>
  <c r="BD23" i="1"/>
  <c r="BF19" i="1"/>
  <c r="AD21" i="1"/>
  <c r="AG21" i="1" s="1"/>
  <c r="BA26" i="1"/>
  <c r="BA27" i="1"/>
  <c r="AF52" i="1"/>
  <c r="BA89" i="1"/>
  <c r="AF65" i="1"/>
  <c r="BC119" i="1"/>
  <c r="BA193" i="1"/>
  <c r="BA60" i="1"/>
  <c r="AB235" i="1"/>
  <c r="AE235" i="1" s="1"/>
  <c r="BC235" i="1"/>
  <c r="BC67" i="1"/>
  <c r="AD77" i="1"/>
  <c r="AG77" i="1" s="1"/>
  <c r="BA78" i="1"/>
  <c r="AE102" i="1"/>
  <c r="BD82" i="1"/>
  <c r="AF90" i="1"/>
  <c r="BC90" i="1"/>
  <c r="AE87" i="1"/>
  <c r="AB88" i="1"/>
  <c r="AE88" i="1" s="1"/>
  <c r="BA88" i="1"/>
  <c r="AC131" i="1"/>
  <c r="AF131" i="1" s="1"/>
  <c r="AB328" i="1"/>
  <c r="AE328" i="1" s="1"/>
  <c r="AC93" i="1"/>
  <c r="AF93" i="1" s="1"/>
  <c r="AF105" i="1"/>
  <c r="AG124" i="1"/>
  <c r="AD12" i="1"/>
  <c r="BA117" i="1"/>
  <c r="AD110" i="1"/>
  <c r="AG110" i="1" s="1"/>
  <c r="BA110" i="1"/>
  <c r="BF126" i="1"/>
  <c r="BA2" i="1"/>
  <c r="BA20" i="1"/>
  <c r="BD7" i="1"/>
  <c r="BF24" i="1"/>
  <c r="BC25" i="1"/>
  <c r="BC26" i="1"/>
  <c r="BC52" i="1"/>
  <c r="AF193" i="1"/>
  <c r="BF106" i="1"/>
  <c r="BD95" i="1"/>
  <c r="BC88" i="1"/>
  <c r="AB99" i="1"/>
  <c r="AE99" i="1" s="1"/>
  <c r="AG118" i="1"/>
  <c r="AG120" i="1"/>
  <c r="AG121" i="1"/>
  <c r="BF98" i="1"/>
  <c r="BC2" i="1"/>
  <c r="BF21" i="1"/>
  <c r="AD59" i="1"/>
  <c r="AG59" i="1" s="1"/>
  <c r="BF193" i="1"/>
  <c r="AC67" i="1"/>
  <c r="AF67" i="1" s="1"/>
  <c r="BD102" i="1"/>
  <c r="BC95" i="1"/>
  <c r="AF88" i="1"/>
  <c r="BF88" i="1"/>
  <c r="BD285" i="1"/>
  <c r="BC285" i="1"/>
  <c r="BF328" i="1"/>
  <c r="BC96" i="1"/>
  <c r="BD93" i="1"/>
  <c r="BC99" i="1"/>
  <c r="AG115" i="1"/>
  <c r="AB118" i="1"/>
  <c r="AE118" i="1" s="1"/>
  <c r="BC118" i="1"/>
  <c r="AC120" i="1"/>
  <c r="AF120" i="1" s="1"/>
  <c r="BA55" i="1"/>
  <c r="AD122" i="1"/>
  <c r="AG122" i="1" s="1"/>
  <c r="BA122" i="1"/>
  <c r="AD116" i="1"/>
  <c r="BA116" i="1"/>
  <c r="BD15" i="1"/>
  <c r="BG15" i="1" s="1"/>
  <c r="BH15" i="1" s="1"/>
  <c r="BC15" i="1"/>
  <c r="BA164" i="1"/>
  <c r="BA58" i="1"/>
  <c r="AC98" i="1"/>
  <c r="AF98" i="1" s="1"/>
  <c r="BC98" i="1"/>
  <c r="AC127" i="1"/>
  <c r="AF127" i="1" s="1"/>
  <c r="BA127" i="1"/>
  <c r="AB12" i="1"/>
  <c r="AE12" i="1" s="1"/>
  <c r="BA56" i="1"/>
  <c r="BA57" i="1"/>
  <c r="BD113" i="1"/>
  <c r="BF110" i="1"/>
  <c r="BD5" i="1"/>
  <c r="BG5" i="1" s="1"/>
  <c r="BH5" i="1" s="1"/>
  <c r="BI5" i="1" s="1"/>
  <c r="AD24" i="1"/>
  <c r="AG24" i="1" s="1"/>
  <c r="BA24" i="1"/>
  <c r="AB25" i="1"/>
  <c r="AE25" i="1" s="1"/>
  <c r="BA18" i="1"/>
  <c r="AC21" i="1"/>
  <c r="AF21" i="1" s="1"/>
  <c r="AC139" i="1"/>
  <c r="AF139" i="1" s="1"/>
  <c r="BA16" i="1"/>
  <c r="BD59" i="1"/>
  <c r="BA61" i="1"/>
  <c r="AC62" i="1"/>
  <c r="AF62" i="1" s="1"/>
  <c r="BA63" i="1"/>
  <c r="AD193" i="1"/>
  <c r="BF235" i="1"/>
  <c r="AE67" i="1"/>
  <c r="AB77" i="1"/>
  <c r="AE77" i="1" s="1"/>
  <c r="AC102" i="1"/>
  <c r="AF102" i="1" s="1"/>
  <c r="AF99" i="1"/>
  <c r="BF99" i="1"/>
  <c r="BD101" i="1"/>
  <c r="BC101" i="1"/>
  <c r="BA112" i="1"/>
  <c r="BD114" i="1"/>
  <c r="BF118" i="1"/>
  <c r="BC258" i="1"/>
  <c r="BC272" i="1"/>
  <c r="BF272" i="1"/>
  <c r="AB248" i="1"/>
  <c r="AE248" i="1" s="1"/>
  <c r="AF275" i="1"/>
  <c r="BD181" i="1"/>
  <c r="BG181" i="1" s="1"/>
  <c r="BH181" i="1" s="1"/>
  <c r="AB273" i="1"/>
  <c r="AE273" i="1" s="1"/>
  <c r="AB278" i="1"/>
  <c r="AE278" i="1" s="1"/>
  <c r="AE289" i="1"/>
  <c r="BA288" i="1"/>
  <c r="AC283" i="1"/>
  <c r="AF283" i="1" s="1"/>
  <c r="BA287" i="1"/>
  <c r="AD282" i="1"/>
  <c r="AG282" i="1" s="1"/>
  <c r="AC329" i="1"/>
  <c r="AF329" i="1" s="1"/>
  <c r="BC297" i="1"/>
  <c r="AC327" i="1"/>
  <c r="AF327" i="1" s="1"/>
  <c r="BA298" i="1"/>
  <c r="AF302" i="1"/>
  <c r="BA305" i="1"/>
  <c r="BA306" i="1"/>
  <c r="AD330" i="1"/>
  <c r="AG330" i="1" s="1"/>
  <c r="BA129" i="1"/>
  <c r="BC310" i="1"/>
  <c r="AC316" i="1"/>
  <c r="AF316" i="1" s="1"/>
  <c r="AB317" i="1"/>
  <c r="AE317" i="1" s="1"/>
  <c r="BC317" i="1"/>
  <c r="AD318" i="1"/>
  <c r="AG318" i="1" s="1"/>
  <c r="AC253" i="1"/>
  <c r="AF253" i="1" s="1"/>
  <c r="BD135" i="1"/>
  <c r="BF135" i="1"/>
  <c r="BA69" i="1"/>
  <c r="BD74" i="1"/>
  <c r="AD76" i="1"/>
  <c r="AG76" i="1" s="1"/>
  <c r="BC143" i="1"/>
  <c r="AB158" i="1"/>
  <c r="AE158" i="1" s="1"/>
  <c r="BC158" i="1"/>
  <c r="BF158" i="1"/>
  <c r="BD157" i="1"/>
  <c r="BD169" i="1"/>
  <c r="BD178" i="1"/>
  <c r="BD199" i="1"/>
  <c r="BA210" i="1"/>
  <c r="AE209" i="1"/>
  <c r="BA209" i="1"/>
  <c r="AB244" i="1"/>
  <c r="AE244" i="1" s="1"/>
  <c r="BF244" i="1"/>
  <c r="BA264" i="1"/>
  <c r="AD274" i="1"/>
  <c r="AG274" i="1" s="1"/>
  <c r="BA274" i="1"/>
  <c r="AC266" i="1"/>
  <c r="AF266" i="1" s="1"/>
  <c r="BA251" i="1"/>
  <c r="AD248" i="1"/>
  <c r="AG248" i="1" s="1"/>
  <c r="BA248" i="1"/>
  <c r="BF286" i="1"/>
  <c r="BA304" i="1"/>
  <c r="AD316" i="1"/>
  <c r="AG316" i="1" s="1"/>
  <c r="AC317" i="1"/>
  <c r="AF317" i="1" s="1"/>
  <c r="BC196" i="1"/>
  <c r="AD253" i="1"/>
  <c r="AG253" i="1" s="1"/>
  <c r="AD135" i="1"/>
  <c r="AG135" i="1" s="1"/>
  <c r="BF68" i="1"/>
  <c r="BC121" i="1"/>
  <c r="BD140" i="1"/>
  <c r="BC155" i="1"/>
  <c r="AD158" i="1"/>
  <c r="AG158" i="1" s="1"/>
  <c r="BC177" i="1"/>
  <c r="BA182" i="1"/>
  <c r="AD180" i="1"/>
  <c r="AG180" i="1" s="1"/>
  <c r="BA180" i="1"/>
  <c r="AC170" i="1"/>
  <c r="AF170" i="1" s="1"/>
  <c r="BA194" i="1"/>
  <c r="BA202" i="1"/>
  <c r="BD201" i="1"/>
  <c r="BD207" i="1"/>
  <c r="BD203" i="1"/>
  <c r="BA230" i="1"/>
  <c r="BC243" i="1"/>
  <c r="BD243" i="1"/>
  <c r="BC239" i="1"/>
  <c r="AF247" i="1"/>
  <c r="BA247" i="1"/>
  <c r="AC244" i="1"/>
  <c r="AF244" i="1" s="1"/>
  <c r="AC125" i="1"/>
  <c r="AF125" i="1" s="1"/>
  <c r="BC125" i="1"/>
  <c r="AC168" i="1"/>
  <c r="AF168" i="1" s="1"/>
  <c r="AB245" i="1"/>
  <c r="AE245" i="1" s="1"/>
  <c r="AC258" i="1"/>
  <c r="AF258" i="1" s="1"/>
  <c r="BA262" i="1"/>
  <c r="AB270" i="1"/>
  <c r="AE270" i="1" s="1"/>
  <c r="BC270" i="1"/>
  <c r="BF270" i="1"/>
  <c r="AC252" i="1"/>
  <c r="AF252" i="1" s="1"/>
  <c r="BA267" i="1"/>
  <c r="AD276" i="1"/>
  <c r="AG276" i="1" s="1"/>
  <c r="BA276" i="1"/>
  <c r="AC249" i="1"/>
  <c r="AF249" i="1" s="1"/>
  <c r="AE256" i="1"/>
  <c r="AB275" i="1"/>
  <c r="AE275" i="1" s="1"/>
  <c r="BA275" i="1"/>
  <c r="AC268" i="1"/>
  <c r="AF268" i="1" s="1"/>
  <c r="AB181" i="1"/>
  <c r="AE181" i="1" s="1"/>
  <c r="AF278" i="1"/>
  <c r="AD279" i="1"/>
  <c r="AG279" i="1" s="1"/>
  <c r="AC290" i="1"/>
  <c r="AF290" i="1" s="1"/>
  <c r="BC283" i="1"/>
  <c r="BF329" i="1"/>
  <c r="BA295" i="1"/>
  <c r="BF296" i="1"/>
  <c r="BC301" i="1"/>
  <c r="AB302" i="1"/>
  <c r="AE302" i="1" s="1"/>
  <c r="AB304" i="1"/>
  <c r="AE304" i="1" s="1"/>
  <c r="BC304" i="1"/>
  <c r="BA307" i="1"/>
  <c r="BC311" i="1"/>
  <c r="AC320" i="1"/>
  <c r="AF320" i="1" s="1"/>
  <c r="BC320" i="1"/>
  <c r="AC132" i="1"/>
  <c r="AF132" i="1" s="1"/>
  <c r="AB321" i="1"/>
  <c r="AE321" i="1" s="1"/>
  <c r="AB128" i="1"/>
  <c r="AE128" i="1" s="1"/>
  <c r="BF128" i="1"/>
  <c r="BA120" i="1"/>
  <c r="BA137" i="1"/>
  <c r="AC144" i="1"/>
  <c r="AF144" i="1" s="1"/>
  <c r="AB155" i="1"/>
  <c r="AE155" i="1" s="1"/>
  <c r="AF158" i="1"/>
  <c r="BA160" i="1"/>
  <c r="AD162" i="1"/>
  <c r="AG162" i="1" s="1"/>
  <c r="BA162" i="1"/>
  <c r="AC156" i="1"/>
  <c r="AF156" i="1" s="1"/>
  <c r="BC170" i="1"/>
  <c r="AC183" i="1"/>
  <c r="AF183" i="1" s="1"/>
  <c r="BA183" i="1"/>
  <c r="AC199" i="1"/>
  <c r="AF199" i="1" s="1"/>
  <c r="AB198" i="1"/>
  <c r="AE198" i="1" s="1"/>
  <c r="BF198" i="1"/>
  <c r="AE190" i="1"/>
  <c r="BD190" i="1"/>
  <c r="AC191" i="1"/>
  <c r="AF191" i="1" s="1"/>
  <c r="BA191" i="1"/>
  <c r="BC208" i="1"/>
  <c r="BA223" i="1"/>
  <c r="BA225" i="1"/>
  <c r="BC247" i="1"/>
  <c r="BF125" i="1"/>
  <c r="BC266" i="1"/>
  <c r="AE268" i="1"/>
  <c r="AD181" i="1"/>
  <c r="BF278" i="1"/>
  <c r="AE279" i="1"/>
  <c r="AE290" i="1"/>
  <c r="BD290" i="1"/>
  <c r="BA284" i="1"/>
  <c r="BA292" i="1"/>
  <c r="BC295" i="1"/>
  <c r="BC298" i="1"/>
  <c r="BA299" i="1"/>
  <c r="AB300" i="1"/>
  <c r="AE300" i="1" s="1"/>
  <c r="BC300" i="1"/>
  <c r="BA300" i="1"/>
  <c r="AD302" i="1"/>
  <c r="AG302" i="1" s="1"/>
  <c r="AD128" i="1"/>
  <c r="AG128" i="1" s="1"/>
  <c r="AB253" i="1"/>
  <c r="AE253" i="1" s="1"/>
  <c r="BC323" i="1"/>
  <c r="AC75" i="1"/>
  <c r="AF75" i="1" s="1"/>
  <c r="BC69" i="1"/>
  <c r="BC73" i="1"/>
  <c r="BA71" i="1"/>
  <c r="AB76" i="1"/>
  <c r="AE76" i="1" s="1"/>
  <c r="BF76" i="1"/>
  <c r="AD136" i="1"/>
  <c r="AG136" i="1" s="1"/>
  <c r="BA136" i="1"/>
  <c r="AD138" i="1"/>
  <c r="AG138" i="1" s="1"/>
  <c r="BC111" i="1"/>
  <c r="BC55" i="1"/>
  <c r="BD122" i="1"/>
  <c r="AB116" i="1"/>
  <c r="AE116" i="1" s="1"/>
  <c r="AB15" i="1"/>
  <c r="AE15" i="1" s="1"/>
  <c r="BA98" i="1"/>
  <c r="BF127" i="1"/>
  <c r="BD55" i="1"/>
  <c r="BG55" i="1" s="1"/>
  <c r="BH55" i="1" s="1"/>
  <c r="AC122" i="1"/>
  <c r="AF122" i="1" s="1"/>
  <c r="BF122" i="1"/>
  <c r="AC116" i="1"/>
  <c r="AF116" i="1" s="1"/>
  <c r="BA15" i="1"/>
  <c r="AM164" i="1"/>
  <c r="AO164" i="1" s="1"/>
  <c r="BC164" i="1" s="1"/>
  <c r="BF164" i="1"/>
  <c r="BD13" i="1"/>
  <c r="BG13" i="1" s="1"/>
  <c r="BH13" i="1" s="1"/>
  <c r="AB111" i="1"/>
  <c r="AE111" i="1" s="1"/>
  <c r="AD127" i="1"/>
  <c r="AG127" i="1" s="1"/>
  <c r="BD56" i="1"/>
  <c r="BG56" i="1" s="1"/>
  <c r="BH56" i="1" s="1"/>
  <c r="AB117" i="1"/>
  <c r="AE117" i="1" s="1"/>
  <c r="AE98" i="1"/>
  <c r="BD127" i="1"/>
  <c r="BA12" i="1"/>
  <c r="BD57" i="1"/>
  <c r="BG57" i="1" s="1"/>
  <c r="BH57" i="1" s="1"/>
  <c r="AC113" i="1"/>
  <c r="AF113" i="1" s="1"/>
  <c r="BF113" i="1"/>
  <c r="AE126" i="1"/>
  <c r="BD164" i="1"/>
  <c r="AB13" i="1"/>
  <c r="AE13" i="1" s="1"/>
  <c r="BC58" i="1"/>
  <c r="BD111" i="1"/>
  <c r="BG111" i="1" s="1"/>
  <c r="BH111" i="1" s="1"/>
  <c r="BC127" i="1"/>
  <c r="BC57" i="1"/>
  <c r="AE113" i="1"/>
  <c r="AD113" i="1"/>
  <c r="AG113" i="1" s="1"/>
  <c r="BD117" i="1"/>
  <c r="BG117" i="1" s="1"/>
  <c r="BH117" i="1" s="1"/>
  <c r="BC110" i="1"/>
  <c r="BC20" i="1"/>
  <c r="AE7" i="1"/>
  <c r="AD7" i="1"/>
  <c r="AG7" i="1" s="1"/>
  <c r="AD6" i="1"/>
  <c r="AG6" i="1" s="1"/>
  <c r="BC6" i="1"/>
  <c r="BD4" i="1"/>
  <c r="BG4" i="1" s="1"/>
  <c r="BH4" i="1" s="1"/>
  <c r="BC24" i="1"/>
  <c r="BC14" i="1"/>
  <c r="AE23" i="1"/>
  <c r="AD23" i="1"/>
  <c r="AG23" i="1" s="1"/>
  <c r="AD18" i="1"/>
  <c r="AG18" i="1" s="1"/>
  <c r="BC18" i="1"/>
  <c r="BD3" i="1"/>
  <c r="BG3" i="1" s="1"/>
  <c r="BH3" i="1" s="1"/>
  <c r="BC19" i="1"/>
  <c r="AB26" i="1"/>
  <c r="AE26" i="1" s="1"/>
  <c r="BC27" i="1"/>
  <c r="AD16" i="1"/>
  <c r="AG16" i="1" s="1"/>
  <c r="BD51" i="1"/>
  <c r="BC51" i="1"/>
  <c r="AF61" i="1"/>
  <c r="BF63" i="1"/>
  <c r="AD65" i="1"/>
  <c r="AG65" i="1" s="1"/>
  <c r="BC66" i="1"/>
  <c r="AD119" i="1"/>
  <c r="AG119" i="1" s="1"/>
  <c r="BA119" i="1"/>
  <c r="AB193" i="1"/>
  <c r="AE193" i="1" s="1"/>
  <c r="BD193" i="1"/>
  <c r="BD77" i="1"/>
  <c r="AF85" i="1"/>
  <c r="BD85" i="1"/>
  <c r="AD82" i="1"/>
  <c r="AG82" i="1" s="1"/>
  <c r="BF82" i="1"/>
  <c r="BD263" i="1"/>
  <c r="BC263" i="1"/>
  <c r="AD91" i="1"/>
  <c r="AG91" i="1" s="1"/>
  <c r="BD84" i="1"/>
  <c r="BC84" i="1"/>
  <c r="AD90" i="1"/>
  <c r="AG90" i="1" s="1"/>
  <c r="BC94" i="1"/>
  <c r="BD87" i="1"/>
  <c r="AE21" i="1"/>
  <c r="AC86" i="1"/>
  <c r="AF86" i="1" s="1"/>
  <c r="BF86" i="1"/>
  <c r="AB86" i="1"/>
  <c r="AE86" i="1" s="1"/>
  <c r="AF198" i="1"/>
  <c r="BD2" i="1"/>
  <c r="BG2" i="1" s="1"/>
  <c r="BH2" i="1" s="1"/>
  <c r="AB6" i="1"/>
  <c r="AE6" i="1" s="1"/>
  <c r="AB4" i="1"/>
  <c r="AE4" i="1" s="1"/>
  <c r="BC5" i="1"/>
  <c r="BD25" i="1"/>
  <c r="BG25" i="1" s="1"/>
  <c r="BH25" i="1" s="1"/>
  <c r="BJ25" i="1" s="1"/>
  <c r="AB18" i="1"/>
  <c r="AE18" i="1" s="1"/>
  <c r="AB3" i="1"/>
  <c r="AE3" i="1" s="1"/>
  <c r="BC17" i="1"/>
  <c r="BD26" i="1"/>
  <c r="BG26" i="1" s="1"/>
  <c r="BH26" i="1" s="1"/>
  <c r="AE139" i="1"/>
  <c r="BD16" i="1"/>
  <c r="AC51" i="1"/>
  <c r="AF51" i="1" s="1"/>
  <c r="AB61" i="1"/>
  <c r="AE61" i="1" s="1"/>
  <c r="BC61" i="1"/>
  <c r="BF61" i="1"/>
  <c r="AB63" i="1"/>
  <c r="AE63" i="1" s="1"/>
  <c r="BD63" i="1"/>
  <c r="AC66" i="1"/>
  <c r="AF66" i="1" s="1"/>
  <c r="AB85" i="1"/>
  <c r="AE85" i="1" s="1"/>
  <c r="BC85" i="1"/>
  <c r="BF85" i="1"/>
  <c r="AF82" i="1"/>
  <c r="AC84" i="1"/>
  <c r="AF84" i="1" s="1"/>
  <c r="AB92" i="1"/>
  <c r="AE92" i="1" s="1"/>
  <c r="AC92" i="1"/>
  <c r="AF92" i="1" s="1"/>
  <c r="AC95" i="1"/>
  <c r="AF95" i="1" s="1"/>
  <c r="AB95" i="1"/>
  <c r="AE95" i="1" s="1"/>
  <c r="AD86" i="1"/>
  <c r="AG86" i="1" s="1"/>
  <c r="AG183" i="1"/>
  <c r="BD110" i="1"/>
  <c r="BA126" i="1"/>
  <c r="BD20" i="1"/>
  <c r="BG20" i="1" s="1"/>
  <c r="BH20" i="1" s="1"/>
  <c r="AC7" i="1"/>
  <c r="AF7" i="1" s="1"/>
  <c r="BF7" i="1"/>
  <c r="AC6" i="1"/>
  <c r="AF6" i="1" s="1"/>
  <c r="BA4" i="1"/>
  <c r="BD24" i="1"/>
  <c r="BA8" i="1"/>
  <c r="BD14" i="1"/>
  <c r="BG14" i="1" s="1"/>
  <c r="BH14" i="1" s="1"/>
  <c r="AC23" i="1"/>
  <c r="AF23" i="1" s="1"/>
  <c r="BF23" i="1"/>
  <c r="AC18" i="1"/>
  <c r="AF18" i="1" s="1"/>
  <c r="BD19" i="1"/>
  <c r="BA21" i="1"/>
  <c r="BD27" i="1"/>
  <c r="BG27" i="1" s="1"/>
  <c r="BH27" i="1" s="1"/>
  <c r="BC139" i="1"/>
  <c r="AB16" i="1"/>
  <c r="AE16" i="1" s="1"/>
  <c r="AB59" i="1"/>
  <c r="AE59" i="1" s="1"/>
  <c r="BC59" i="1"/>
  <c r="BF59" i="1"/>
  <c r="AB52" i="1"/>
  <c r="AE52" i="1" s="1"/>
  <c r="BD52" i="1"/>
  <c r="BF52" i="1"/>
  <c r="BD89" i="1"/>
  <c r="BC89" i="1"/>
  <c r="AD61" i="1"/>
  <c r="AG61" i="1" s="1"/>
  <c r="BC62" i="1"/>
  <c r="AD63" i="1"/>
  <c r="AG63" i="1" s="1"/>
  <c r="AB65" i="1"/>
  <c r="AE65" i="1" s="1"/>
  <c r="BC65" i="1"/>
  <c r="BF65" i="1"/>
  <c r="AE66" i="1"/>
  <c r="AB119" i="1"/>
  <c r="AE119" i="1" s="1"/>
  <c r="BD235" i="1"/>
  <c r="BF77" i="1"/>
  <c r="AD85" i="1"/>
  <c r="AG85" i="1" s="1"/>
  <c r="BC102" i="1"/>
  <c r="AB82" i="1"/>
  <c r="AE82" i="1" s="1"/>
  <c r="BA263" i="1"/>
  <c r="AB91" i="1"/>
  <c r="AE91" i="1" s="1"/>
  <c r="BC91" i="1"/>
  <c r="BF91" i="1"/>
  <c r="AB90" i="1"/>
  <c r="AE90" i="1" s="1"/>
  <c r="BD90" i="1"/>
  <c r="BF90" i="1"/>
  <c r="AD95" i="1"/>
  <c r="AG95" i="1" s="1"/>
  <c r="BF95" i="1"/>
  <c r="BC87" i="1"/>
  <c r="BA131" i="1"/>
  <c r="AD72" i="1"/>
  <c r="AG72" i="1" s="1"/>
  <c r="BC93" i="1"/>
  <c r="BF121" i="1"/>
  <c r="AE157" i="1"/>
  <c r="BC156" i="1"/>
  <c r="AE145" i="1"/>
  <c r="AC145" i="1"/>
  <c r="AF145" i="1" s="1"/>
  <c r="BF145" i="1"/>
  <c r="BD147" i="1"/>
  <c r="BC147" i="1"/>
  <c r="BF169" i="1"/>
  <c r="AE178" i="1"/>
  <c r="AD178" i="1"/>
  <c r="AG178" i="1" s="1"/>
  <c r="BF178" i="1"/>
  <c r="AC177" i="1"/>
  <c r="AF177" i="1" s="1"/>
  <c r="BD177" i="1"/>
  <c r="BF183" i="1"/>
  <c r="BD184" i="1"/>
  <c r="BC184" i="1"/>
  <c r="BD186" i="1"/>
  <c r="BD204" i="1"/>
  <c r="BC191" i="1"/>
  <c r="BF197" i="1"/>
  <c r="AE200" i="1"/>
  <c r="AD200" i="1"/>
  <c r="AG200" i="1" s="1"/>
  <c r="BF200" i="1"/>
  <c r="AC185" i="1"/>
  <c r="AF185" i="1" s="1"/>
  <c r="BD185" i="1"/>
  <c r="BF207" i="1"/>
  <c r="AE203" i="1"/>
  <c r="AD203" i="1"/>
  <c r="AG203" i="1" s="1"/>
  <c r="BF203" i="1"/>
  <c r="AC208" i="1"/>
  <c r="AF208" i="1" s="1"/>
  <c r="BD208" i="1"/>
  <c r="AB230" i="1"/>
  <c r="AE230" i="1" s="1"/>
  <c r="BF230" i="1"/>
  <c r="AD230" i="1"/>
  <c r="AG230" i="1" s="1"/>
  <c r="BA241" i="1"/>
  <c r="BF243" i="1"/>
  <c r="AD243" i="1"/>
  <c r="AB243" i="1"/>
  <c r="AE243" i="1" s="1"/>
  <c r="BD242" i="1"/>
  <c r="AC246" i="1"/>
  <c r="AF246" i="1" s="1"/>
  <c r="AB246" i="1"/>
  <c r="AE246" i="1" s="1"/>
  <c r="AD239" i="1"/>
  <c r="AG239" i="1" s="1"/>
  <c r="AB239" i="1"/>
  <c r="AE239" i="1" s="1"/>
  <c r="BA239" i="1"/>
  <c r="BF239" i="1"/>
  <c r="BD237" i="1"/>
  <c r="BC237" i="1"/>
  <c r="BA257" i="1"/>
  <c r="BF262" i="1"/>
  <c r="AD262" i="1"/>
  <c r="AG262" i="1" s="1"/>
  <c r="AB262" i="1"/>
  <c r="AE262" i="1" s="1"/>
  <c r="BD256" i="1"/>
  <c r="AC288" i="1"/>
  <c r="AF288" i="1" s="1"/>
  <c r="AB288" i="1"/>
  <c r="AE288" i="1" s="1"/>
  <c r="AE283" i="1"/>
  <c r="BD86" i="1"/>
  <c r="AD88" i="1"/>
  <c r="AG88" i="1" s="1"/>
  <c r="BA285" i="1"/>
  <c r="BC131" i="1"/>
  <c r="AD328" i="1"/>
  <c r="AG328" i="1" s="1"/>
  <c r="AF72" i="1"/>
  <c r="BD72" i="1"/>
  <c r="AD99" i="1"/>
  <c r="AG99" i="1" s="1"/>
  <c r="BA101" i="1"/>
  <c r="AB104" i="1"/>
  <c r="AE104" i="1" s="1"/>
  <c r="BC104" i="1"/>
  <c r="BF104" i="1"/>
  <c r="AB105" i="1"/>
  <c r="AE105" i="1" s="1"/>
  <c r="BD105" i="1"/>
  <c r="BF105" i="1"/>
  <c r="AB114" i="1"/>
  <c r="AE114" i="1" s="1"/>
  <c r="AB115" i="1"/>
  <c r="AE115" i="1" s="1"/>
  <c r="BF115" i="1"/>
  <c r="AC118" i="1"/>
  <c r="AF118" i="1" s="1"/>
  <c r="BD118" i="1"/>
  <c r="AB121" i="1"/>
  <c r="AE121" i="1" s="1"/>
  <c r="BD121" i="1"/>
  <c r="BC140" i="1"/>
  <c r="AB137" i="1"/>
  <c r="AE137" i="1" s="1"/>
  <c r="BD137" i="1"/>
  <c r="AG144" i="1"/>
  <c r="BA144" i="1"/>
  <c r="BC157" i="1"/>
  <c r="AB166" i="1"/>
  <c r="AE166" i="1" s="1"/>
  <c r="BF166" i="1"/>
  <c r="BC160" i="1"/>
  <c r="BD162" i="1"/>
  <c r="AD145" i="1"/>
  <c r="AG145" i="1" s="1"/>
  <c r="BD145" i="1"/>
  <c r="BA145" i="1"/>
  <c r="AD169" i="1"/>
  <c r="AG169" i="1" s="1"/>
  <c r="AD177" i="1"/>
  <c r="AG177" i="1" s="1"/>
  <c r="BF177" i="1"/>
  <c r="BD180" i="1"/>
  <c r="AB183" i="1"/>
  <c r="AE183" i="1" s="1"/>
  <c r="AF186" i="1"/>
  <c r="AF204" i="1"/>
  <c r="AC190" i="1"/>
  <c r="AF190" i="1" s="1"/>
  <c r="AB191" i="1"/>
  <c r="AE191" i="1" s="1"/>
  <c r="BF202" i="1"/>
  <c r="BA205" i="1"/>
  <c r="AD197" i="1"/>
  <c r="AG197" i="1" s="1"/>
  <c r="AD185" i="1"/>
  <c r="AG185" i="1" s="1"/>
  <c r="BF185" i="1"/>
  <c r="BA192" i="1"/>
  <c r="AD207" i="1"/>
  <c r="AG207" i="1" s="1"/>
  <c r="AD208" i="1"/>
  <c r="AG208" i="1" s="1"/>
  <c r="BF208" i="1"/>
  <c r="BD225" i="1"/>
  <c r="AC230" i="1"/>
  <c r="AF230" i="1" s="1"/>
  <c r="BC232" i="1"/>
  <c r="AC243" i="1"/>
  <c r="AF243" i="1" s="1"/>
  <c r="AD246" i="1"/>
  <c r="AG246" i="1" s="1"/>
  <c r="BF246" i="1"/>
  <c r="AC239" i="1"/>
  <c r="AF239" i="1" s="1"/>
  <c r="BC222" i="1"/>
  <c r="AC262" i="1"/>
  <c r="AF262" i="1" s="1"/>
  <c r="AC271" i="1"/>
  <c r="AF271" i="1" s="1"/>
  <c r="AB271" i="1"/>
  <c r="AE271" i="1" s="1"/>
  <c r="AF273" i="1"/>
  <c r="AF282" i="1"/>
  <c r="AD104" i="1"/>
  <c r="AG104" i="1" s="1"/>
  <c r="BD103" i="1"/>
  <c r="BC103" i="1"/>
  <c r="AD105" i="1"/>
  <c r="AC114" i="1"/>
  <c r="AF114" i="1" s="1"/>
  <c r="BF114" i="1"/>
  <c r="AC115" i="1"/>
  <c r="AF115" i="1" s="1"/>
  <c r="BD115" i="1"/>
  <c r="BF124" i="1"/>
  <c r="AD137" i="1"/>
  <c r="AG137" i="1" s="1"/>
  <c r="AC166" i="1"/>
  <c r="AF166" i="1" s="1"/>
  <c r="BF142" i="1"/>
  <c r="BF186" i="1"/>
  <c r="BF204" i="1"/>
  <c r="AB265" i="1"/>
  <c r="AE265" i="1" s="1"/>
  <c r="AC265" i="1"/>
  <c r="AF265" i="1" s="1"/>
  <c r="BA252" i="1"/>
  <c r="AD196" i="1"/>
  <c r="AG196" i="1" s="1"/>
  <c r="AC196" i="1"/>
  <c r="AF196" i="1" s="1"/>
  <c r="AB196" i="1"/>
  <c r="AE196" i="1" s="1"/>
  <c r="BF196" i="1"/>
  <c r="BD97" i="1"/>
  <c r="BC97" i="1"/>
  <c r="AD106" i="1"/>
  <c r="AG106" i="1" s="1"/>
  <c r="BC92" i="1"/>
  <c r="BA100" i="1"/>
  <c r="AE94" i="1"/>
  <c r="BA83" i="1"/>
  <c r="BC86" i="1"/>
  <c r="BD88" i="1"/>
  <c r="BD328" i="1"/>
  <c r="BA96" i="1"/>
  <c r="AB72" i="1"/>
  <c r="AE72" i="1" s="1"/>
  <c r="BC72" i="1"/>
  <c r="BF72" i="1"/>
  <c r="BD99" i="1"/>
  <c r="BD104" i="1"/>
  <c r="AB120" i="1"/>
  <c r="AE120" i="1" s="1"/>
  <c r="BF120" i="1"/>
  <c r="AB124" i="1"/>
  <c r="AE124" i="1" s="1"/>
  <c r="AF137" i="1"/>
  <c r="BF137" i="1"/>
  <c r="BD144" i="1"/>
  <c r="AC157" i="1"/>
  <c r="AF157" i="1" s="1"/>
  <c r="BC162" i="1"/>
  <c r="BF162" i="1"/>
  <c r="BA156" i="1"/>
  <c r="BA147" i="1"/>
  <c r="AD142" i="1"/>
  <c r="AG142" i="1" s="1"/>
  <c r="AF169" i="1"/>
  <c r="AC178" i="1"/>
  <c r="AF178" i="1" s="1"/>
  <c r="BA177" i="1"/>
  <c r="BF180" i="1"/>
  <c r="AE170" i="1"/>
  <c r="AD170" i="1"/>
  <c r="BA184" i="1"/>
  <c r="AD186" i="1"/>
  <c r="AG186" i="1" s="1"/>
  <c r="AE199" i="1"/>
  <c r="AD199" i="1"/>
  <c r="AG199" i="1" s="1"/>
  <c r="BF199" i="1"/>
  <c r="BD198" i="1"/>
  <c r="BA195" i="1"/>
  <c r="AD204" i="1"/>
  <c r="AG204" i="1" s="1"/>
  <c r="AD191" i="1"/>
  <c r="AG191" i="1" s="1"/>
  <c r="BD202" i="1"/>
  <c r="AF197" i="1"/>
  <c r="AC200" i="1"/>
  <c r="AF200" i="1" s="1"/>
  <c r="BA185" i="1"/>
  <c r="AF207" i="1"/>
  <c r="AC203" i="1"/>
  <c r="AF203" i="1" s="1"/>
  <c r="BA208" i="1"/>
  <c r="AC225" i="1"/>
  <c r="AF225" i="1" s="1"/>
  <c r="BF225" i="1"/>
  <c r="AD232" i="1"/>
  <c r="AG232" i="1" s="1"/>
  <c r="AD236" i="1"/>
  <c r="AG236" i="1" s="1"/>
  <c r="AB236" i="1"/>
  <c r="AE236" i="1" s="1"/>
  <c r="BA236" i="1"/>
  <c r="BF236" i="1"/>
  <c r="BC242" i="1"/>
  <c r="BD246" i="1"/>
  <c r="AB210" i="1"/>
  <c r="AE210" i="1" s="1"/>
  <c r="AC210" i="1"/>
  <c r="AF210" i="1" s="1"/>
  <c r="AG210" i="1"/>
  <c r="BD245" i="1"/>
  <c r="BG245" i="1" s="1"/>
  <c r="BH245" i="1" s="1"/>
  <c r="AC257" i="1"/>
  <c r="AF257" i="1" s="1"/>
  <c r="BF257" i="1"/>
  <c r="AB257" i="1"/>
  <c r="AE257" i="1" s="1"/>
  <c r="BD289" i="1"/>
  <c r="AX293" i="1"/>
  <c r="BD293" i="1" s="1"/>
  <c r="AB293" i="1"/>
  <c r="AE293" i="1" s="1"/>
  <c r="AB148" i="1"/>
  <c r="AE148" i="1" s="1"/>
  <c r="AC148" i="1"/>
  <c r="AF148" i="1" s="1"/>
  <c r="AG225" i="1"/>
  <c r="AE232" i="1"/>
  <c r="BD236" i="1"/>
  <c r="BD239" i="1"/>
  <c r="BC244" i="1"/>
  <c r="AF222" i="1"/>
  <c r="BA250" i="1"/>
  <c r="BC257" i="1"/>
  <c r="BD262" i="1"/>
  <c r="AF274" i="1"/>
  <c r="BD274" i="1"/>
  <c r="AD252" i="1"/>
  <c r="AG252" i="1" s="1"/>
  <c r="BC252" i="1"/>
  <c r="BF252" i="1"/>
  <c r="AD272" i="1"/>
  <c r="AG272" i="1" s="1"/>
  <c r="BD267" i="1"/>
  <c r="AF276" i="1"/>
  <c r="BD248" i="1"/>
  <c r="BG248" i="1" s="1"/>
  <c r="BH248" i="1" s="1"/>
  <c r="BD275" i="1"/>
  <c r="BA268" i="1"/>
  <c r="AC181" i="1"/>
  <c r="AF181" i="1" s="1"/>
  <c r="AD278" i="1"/>
  <c r="AD290" i="1"/>
  <c r="AG290" i="1" s="1"/>
  <c r="BC289" i="1"/>
  <c r="AD286" i="1"/>
  <c r="AG286" i="1" s="1"/>
  <c r="AD283" i="1"/>
  <c r="BA291" i="1"/>
  <c r="BA277" i="1"/>
  <c r="AB303" i="1"/>
  <c r="AE303" i="1" s="1"/>
  <c r="AX303" i="1"/>
  <c r="BD303" i="1" s="1"/>
  <c r="AD303" i="1"/>
  <c r="AG303" i="1" s="1"/>
  <c r="AC303" i="1"/>
  <c r="AF303" i="1" s="1"/>
  <c r="BA308" i="1"/>
  <c r="BC309" i="1"/>
  <c r="AB319" i="1"/>
  <c r="AE319" i="1" s="1"/>
  <c r="AX319" i="1"/>
  <c r="BD319" i="1" s="1"/>
  <c r="AD319" i="1"/>
  <c r="AG319" i="1" s="1"/>
  <c r="AC319" i="1"/>
  <c r="AF319" i="1" s="1"/>
  <c r="BC319" i="1"/>
  <c r="AF76" i="1"/>
  <c r="BD270" i="1"/>
  <c r="BD272" i="1"/>
  <c r="BC256" i="1"/>
  <c r="BF290" i="1"/>
  <c r="BA286" i="1"/>
  <c r="BF283" i="1"/>
  <c r="AB282" i="1"/>
  <c r="AE282" i="1" s="1"/>
  <c r="BF282" i="1"/>
  <c r="BC277" i="1"/>
  <c r="BC292" i="1"/>
  <c r="BC293" i="1"/>
  <c r="BC130" i="1"/>
  <c r="AC298" i="1"/>
  <c r="AF298" i="1" s="1"/>
  <c r="BF298" i="1"/>
  <c r="AD298" i="1"/>
  <c r="AG298" i="1" s="1"/>
  <c r="BD330" i="1"/>
  <c r="BD309" i="1"/>
  <c r="BD232" i="1"/>
  <c r="AF242" i="1"/>
  <c r="BD210" i="1"/>
  <c r="BA244" i="1"/>
  <c r="BC262" i="1"/>
  <c r="BC265" i="1"/>
  <c r="BA269" i="1"/>
  <c r="AB274" i="1"/>
  <c r="AE274" i="1" s="1"/>
  <c r="BC274" i="1"/>
  <c r="BF274" i="1"/>
  <c r="AE266" i="1"/>
  <c r="BD252" i="1"/>
  <c r="AC267" i="1"/>
  <c r="AF267" i="1" s="1"/>
  <c r="AB276" i="1"/>
  <c r="AE276" i="1" s="1"/>
  <c r="BF276" i="1"/>
  <c r="AD249" i="1"/>
  <c r="AG249" i="1" s="1"/>
  <c r="AC248" i="1"/>
  <c r="AF248" i="1" s="1"/>
  <c r="BF275" i="1"/>
  <c r="BD268" i="1"/>
  <c r="AC279" i="1"/>
  <c r="AF279" i="1" s="1"/>
  <c r="BA283" i="1"/>
  <c r="AC292" i="1"/>
  <c r="AF292" i="1" s="1"/>
  <c r="BD292" i="1"/>
  <c r="BF292" i="1"/>
  <c r="BD296" i="1"/>
  <c r="AX133" i="1"/>
  <c r="BD133" i="1" s="1"/>
  <c r="BF133" i="1"/>
  <c r="AD133" i="1"/>
  <c r="AG133" i="1" s="1"/>
  <c r="AC133" i="1"/>
  <c r="AF133" i="1" s="1"/>
  <c r="AB133" i="1"/>
  <c r="AE133" i="1" s="1"/>
  <c r="BC307" i="1"/>
  <c r="BC129" i="1"/>
  <c r="AD297" i="1"/>
  <c r="AG297" i="1" s="1"/>
  <c r="BA297" i="1"/>
  <c r="AE299" i="1"/>
  <c r="AC300" i="1"/>
  <c r="AF300" i="1" s="1"/>
  <c r="BF300" i="1"/>
  <c r="AC301" i="1"/>
  <c r="AF301" i="1" s="1"/>
  <c r="BC302" i="1"/>
  <c r="AC304" i="1"/>
  <c r="AF304" i="1" s="1"/>
  <c r="BC305" i="1"/>
  <c r="AD311" i="1"/>
  <c r="AG311" i="1" s="1"/>
  <c r="BA313" i="1"/>
  <c r="BF316" i="1"/>
  <c r="AF318" i="1"/>
  <c r="AD320" i="1"/>
  <c r="AG320" i="1" s="1"/>
  <c r="BC132" i="1"/>
  <c r="AD321" i="1"/>
  <c r="AG321" i="1" s="1"/>
  <c r="BD196" i="1"/>
  <c r="AD80" i="1"/>
  <c r="AG80" i="1" s="1"/>
  <c r="BA212" i="1"/>
  <c r="BA253" i="1"/>
  <c r="BA135" i="1"/>
  <c r="BA75" i="1"/>
  <c r="AB69" i="1"/>
  <c r="AE69" i="1" s="1"/>
  <c r="BA73" i="1"/>
  <c r="AC71" i="1"/>
  <c r="AF71" i="1" s="1"/>
  <c r="BD71" i="1"/>
  <c r="BF71" i="1"/>
  <c r="BD70" i="1"/>
  <c r="BD136" i="1"/>
  <c r="BA143" i="1"/>
  <c r="AX302" i="1"/>
  <c r="BD302" i="1" s="1"/>
  <c r="BF302" i="1"/>
  <c r="AD304" i="1"/>
  <c r="AG304" i="1" s="1"/>
  <c r="BF304" i="1"/>
  <c r="AB330" i="1"/>
  <c r="AE330" i="1" s="1"/>
  <c r="AB309" i="1"/>
  <c r="AE309" i="1" s="1"/>
  <c r="AX315" i="1"/>
  <c r="BD315" i="1" s="1"/>
  <c r="BC316" i="1"/>
  <c r="AX318" i="1"/>
  <c r="BD318" i="1" s="1"/>
  <c r="BF318" i="1"/>
  <c r="BD320" i="1"/>
  <c r="AF321" i="1"/>
  <c r="BA107" i="1"/>
  <c r="BA148" i="1"/>
  <c r="BC212" i="1"/>
  <c r="BD253" i="1"/>
  <c r="BG253" i="1" s="1"/>
  <c r="BH253" i="1" s="1"/>
  <c r="BA280" i="1"/>
  <c r="BA187" i="1"/>
  <c r="AG75" i="1"/>
  <c r="AC69" i="1"/>
  <c r="AF69" i="1" s="1"/>
  <c r="AF74" i="1"/>
  <c r="AD71" i="1"/>
  <c r="AG71" i="1" s="1"/>
  <c r="AF136" i="1"/>
  <c r="BC136" i="1"/>
  <c r="AB138" i="1"/>
  <c r="AE138" i="1" s="1"/>
  <c r="AB143" i="1"/>
  <c r="AE143" i="1" s="1"/>
  <c r="BD143" i="1"/>
  <c r="BG143" i="1" s="1"/>
  <c r="BH143" i="1" s="1"/>
  <c r="BA22" i="1"/>
  <c r="BA293" i="1"/>
  <c r="BA130" i="1"/>
  <c r="AB297" i="1"/>
  <c r="AE297" i="1" s="1"/>
  <c r="BF297" i="1"/>
  <c r="BD327" i="1"/>
  <c r="AX299" i="1"/>
  <c r="BD299" i="1" s="1"/>
  <c r="BC306" i="1"/>
  <c r="AC330" i="1"/>
  <c r="AF330" i="1" s="1"/>
  <c r="BF330" i="1"/>
  <c r="AC309" i="1"/>
  <c r="AF309" i="1" s="1"/>
  <c r="AB311" i="1"/>
  <c r="AE311" i="1" s="1"/>
  <c r="BF313" i="1"/>
  <c r="AC326" i="1"/>
  <c r="AF326" i="1" s="1"/>
  <c r="BC326" i="1"/>
  <c r="AB318" i="1"/>
  <c r="AE318" i="1" s="1"/>
  <c r="AB320" i="1"/>
  <c r="AE320" i="1" s="1"/>
  <c r="AB132" i="1"/>
  <c r="AE132" i="1" s="1"/>
  <c r="BF321" i="1"/>
  <c r="BA10" i="1"/>
  <c r="BA54" i="1"/>
  <c r="BD80" i="1"/>
  <c r="BG80" i="1" s="1"/>
  <c r="BH80" i="1" s="1"/>
  <c r="BD107" i="1"/>
  <c r="BC107" i="1"/>
  <c r="BC148" i="1"/>
  <c r="AD69" i="1"/>
  <c r="AG69" i="1" s="1"/>
  <c r="BF136" i="1"/>
  <c r="AC138" i="1"/>
  <c r="AF138" i="1" s="1"/>
  <c r="AC143" i="1"/>
  <c r="AF143" i="1" s="1"/>
  <c r="BC122" i="1"/>
  <c r="AE127" i="1"/>
  <c r="BC113" i="1"/>
  <c r="AE110" i="1"/>
  <c r="BC7" i="1"/>
  <c r="AE24" i="1"/>
  <c r="BC23" i="1"/>
  <c r="AE19" i="1"/>
  <c r="BD116" i="1"/>
  <c r="BG116" i="1" s="1"/>
  <c r="BH116" i="1" s="1"/>
  <c r="BD126" i="1"/>
  <c r="BD6" i="1"/>
  <c r="BG6" i="1" s="1"/>
  <c r="BH6" i="1" s="1"/>
  <c r="BD8" i="1"/>
  <c r="BG8" i="1" s="1"/>
  <c r="BH8" i="1" s="1"/>
  <c r="BD21" i="1"/>
  <c r="BF89" i="1"/>
  <c r="AD89" i="1"/>
  <c r="AG89" i="1" s="1"/>
  <c r="AC89" i="1"/>
  <c r="AF89" i="1" s="1"/>
  <c r="AB89" i="1"/>
  <c r="AE89" i="1" s="1"/>
  <c r="AE164" i="1"/>
  <c r="AC13" i="1"/>
  <c r="AF13" i="1" s="1"/>
  <c r="AC111" i="1"/>
  <c r="AF111" i="1" s="1"/>
  <c r="AC56" i="1"/>
  <c r="AF56" i="1" s="1"/>
  <c r="AB57" i="1"/>
  <c r="AE57" i="1" s="1"/>
  <c r="AC117" i="1"/>
  <c r="AF117" i="1" s="1"/>
  <c r="AC2" i="1"/>
  <c r="AF2" i="1" s="1"/>
  <c r="AB20" i="1"/>
  <c r="AE20" i="1" s="1"/>
  <c r="AC4" i="1"/>
  <c r="AF4" i="1" s="1"/>
  <c r="AB5" i="1"/>
  <c r="AE5" i="1" s="1"/>
  <c r="AC25" i="1"/>
  <c r="AF25" i="1" s="1"/>
  <c r="AB14" i="1"/>
  <c r="AE14" i="1" s="1"/>
  <c r="AC3" i="1"/>
  <c r="AF3" i="1" s="1"/>
  <c r="AB17" i="1"/>
  <c r="AE17" i="1" s="1"/>
  <c r="AC26" i="1"/>
  <c r="AF26" i="1" s="1"/>
  <c r="AB27" i="1"/>
  <c r="AE27" i="1" s="1"/>
  <c r="BA62" i="1"/>
  <c r="BD66" i="1"/>
  <c r="BD67" i="1"/>
  <c r="BF97" i="1"/>
  <c r="AD97" i="1"/>
  <c r="AG97" i="1" s="1"/>
  <c r="AC97" i="1"/>
  <c r="AF97" i="1" s="1"/>
  <c r="AB97" i="1"/>
  <c r="AE97" i="1" s="1"/>
  <c r="BD98" i="1"/>
  <c r="BD12" i="1"/>
  <c r="BG12" i="1" s="1"/>
  <c r="BH12" i="1" s="1"/>
  <c r="BD18" i="1"/>
  <c r="BG18" i="1" s="1"/>
  <c r="BH18" i="1" s="1"/>
  <c r="AB55" i="1"/>
  <c r="AE55" i="1" s="1"/>
  <c r="AC15" i="1"/>
  <c r="AF15" i="1" s="1"/>
  <c r="AB58" i="1"/>
  <c r="AE58" i="1" s="1"/>
  <c r="AC55" i="1"/>
  <c r="AF55" i="1" s="1"/>
  <c r="AD15" i="1"/>
  <c r="AD13" i="1"/>
  <c r="AC58" i="1"/>
  <c r="AF58" i="1" s="1"/>
  <c r="AD111" i="1"/>
  <c r="AD56" i="1"/>
  <c r="AC57" i="1"/>
  <c r="AF57" i="1" s="1"/>
  <c r="AD117" i="1"/>
  <c r="AD2" i="1"/>
  <c r="AC20" i="1"/>
  <c r="AF20" i="1" s="1"/>
  <c r="AD4" i="1"/>
  <c r="AC5" i="1"/>
  <c r="AF5" i="1" s="1"/>
  <c r="AD25" i="1"/>
  <c r="AC14" i="1"/>
  <c r="AF14" i="1" s="1"/>
  <c r="AD3" i="1"/>
  <c r="AC17" i="1"/>
  <c r="AF17" i="1" s="1"/>
  <c r="AD26" i="1"/>
  <c r="AC27" i="1"/>
  <c r="AF27" i="1" s="1"/>
  <c r="BA92" i="1"/>
  <c r="BD94" i="1"/>
  <c r="AD55" i="1"/>
  <c r="AD58" i="1"/>
  <c r="AD57" i="1"/>
  <c r="AD20" i="1"/>
  <c r="AD5" i="1"/>
  <c r="AG5" i="1" s="1"/>
  <c r="AD14" i="1"/>
  <c r="AD17" i="1"/>
  <c r="AD27" i="1"/>
  <c r="AF59" i="1"/>
  <c r="AE51" i="1"/>
  <c r="BD61" i="1"/>
  <c r="BF64" i="1"/>
  <c r="AD64" i="1"/>
  <c r="AC64" i="1"/>
  <c r="AF64" i="1" s="1"/>
  <c r="AB64" i="1"/>
  <c r="AE64" i="1" s="1"/>
  <c r="BD64" i="1"/>
  <c r="BC64" i="1"/>
  <c r="BA66" i="1"/>
  <c r="BF60" i="1"/>
  <c r="AD60" i="1"/>
  <c r="AG60" i="1" s="1"/>
  <c r="AC60" i="1"/>
  <c r="AF60" i="1" s="1"/>
  <c r="AB60" i="1"/>
  <c r="AE60" i="1" s="1"/>
  <c r="BD60" i="1"/>
  <c r="BC60" i="1"/>
  <c r="BA67" i="1"/>
  <c r="AF91" i="1"/>
  <c r="AE84" i="1"/>
  <c r="BD106" i="1"/>
  <c r="BF100" i="1"/>
  <c r="AD100" i="1"/>
  <c r="AG100" i="1" s="1"/>
  <c r="AC100" i="1"/>
  <c r="AF100" i="1" s="1"/>
  <c r="AB100" i="1"/>
  <c r="AE100" i="1" s="1"/>
  <c r="BD100" i="1"/>
  <c r="BC100" i="1"/>
  <c r="BA94" i="1"/>
  <c r="AE131" i="1"/>
  <c r="AF104" i="1"/>
  <c r="AE103" i="1"/>
  <c r="BD124" i="1"/>
  <c r="BA51" i="1"/>
  <c r="AF235" i="1"/>
  <c r="BF263" i="1"/>
  <c r="AD263" i="1"/>
  <c r="AG263" i="1" s="1"/>
  <c r="AC263" i="1"/>
  <c r="AF263" i="1" s="1"/>
  <c r="AB263" i="1"/>
  <c r="AE263" i="1" s="1"/>
  <c r="BA84" i="1"/>
  <c r="BF285" i="1"/>
  <c r="AD285" i="1"/>
  <c r="AG285" i="1" s="1"/>
  <c r="AC285" i="1"/>
  <c r="AF285" i="1" s="1"/>
  <c r="AB285" i="1"/>
  <c r="AE285" i="1" s="1"/>
  <c r="BF101" i="1"/>
  <c r="AD101" i="1"/>
  <c r="AG101" i="1" s="1"/>
  <c r="AC101" i="1"/>
  <c r="AF101" i="1" s="1"/>
  <c r="AB101" i="1"/>
  <c r="AE101" i="1" s="1"/>
  <c r="BA103" i="1"/>
  <c r="BA139" i="1"/>
  <c r="AE62" i="1"/>
  <c r="BD62" i="1"/>
  <c r="BD65" i="1"/>
  <c r="BD119" i="1"/>
  <c r="BG119" i="1" s="1"/>
  <c r="BH119" i="1" s="1"/>
  <c r="BF78" i="1"/>
  <c r="AD78" i="1"/>
  <c r="AG78" i="1" s="1"/>
  <c r="AC78" i="1"/>
  <c r="AF78" i="1" s="1"/>
  <c r="AB78" i="1"/>
  <c r="AE78" i="1" s="1"/>
  <c r="BD78" i="1"/>
  <c r="BC78" i="1"/>
  <c r="BA102" i="1"/>
  <c r="AF106" i="1"/>
  <c r="BD92" i="1"/>
  <c r="BF83" i="1"/>
  <c r="AD83" i="1"/>
  <c r="AG83" i="1" s="1"/>
  <c r="AC83" i="1"/>
  <c r="AF83" i="1" s="1"/>
  <c r="AB83" i="1"/>
  <c r="AE83" i="1" s="1"/>
  <c r="BD83" i="1"/>
  <c r="BC83" i="1"/>
  <c r="BA87" i="1"/>
  <c r="BF96" i="1"/>
  <c r="AD96" i="1"/>
  <c r="AG96" i="1" s="1"/>
  <c r="AC96" i="1"/>
  <c r="AF96" i="1" s="1"/>
  <c r="AB96" i="1"/>
  <c r="AE96" i="1" s="1"/>
  <c r="BD96" i="1"/>
  <c r="BA93" i="1"/>
  <c r="BD112" i="1"/>
  <c r="BC137" i="1"/>
  <c r="BF184" i="1"/>
  <c r="AD184" i="1"/>
  <c r="AG184" i="1" s="1"/>
  <c r="AC184" i="1"/>
  <c r="AF184" i="1" s="1"/>
  <c r="AB184" i="1"/>
  <c r="AE184" i="1" s="1"/>
  <c r="AD139" i="1"/>
  <c r="AG139" i="1" s="1"/>
  <c r="BF139" i="1"/>
  <c r="AD51" i="1"/>
  <c r="AG51" i="1" s="1"/>
  <c r="BF51" i="1"/>
  <c r="AD62" i="1"/>
  <c r="AG62" i="1" s="1"/>
  <c r="BF62" i="1"/>
  <c r="AD66" i="1"/>
  <c r="AG66" i="1" s="1"/>
  <c r="BF66" i="1"/>
  <c r="AC119" i="1"/>
  <c r="AF119" i="1" s="1"/>
  <c r="AD67" i="1"/>
  <c r="AG67" i="1" s="1"/>
  <c r="BF67" i="1"/>
  <c r="AD102" i="1"/>
  <c r="AG102" i="1" s="1"/>
  <c r="BF102" i="1"/>
  <c r="AD84" i="1"/>
  <c r="AG84" i="1" s="1"/>
  <c r="BF84" i="1"/>
  <c r="AD92" i="1"/>
  <c r="AG92" i="1" s="1"/>
  <c r="BF92" i="1"/>
  <c r="AD94" i="1"/>
  <c r="AG94" i="1" s="1"/>
  <c r="BF94" i="1"/>
  <c r="AD87" i="1"/>
  <c r="AG87" i="1" s="1"/>
  <c r="BF87" i="1"/>
  <c r="AD131" i="1"/>
  <c r="AG131" i="1" s="1"/>
  <c r="BF131" i="1"/>
  <c r="AC328" i="1"/>
  <c r="AF328" i="1" s="1"/>
  <c r="AD93" i="1"/>
  <c r="AG93" i="1" s="1"/>
  <c r="BF93" i="1"/>
  <c r="AD103" i="1"/>
  <c r="AG103" i="1" s="1"/>
  <c r="BF103" i="1"/>
  <c r="AD112" i="1"/>
  <c r="BC112" i="1"/>
  <c r="BF140" i="1"/>
  <c r="AD140" i="1"/>
  <c r="BA140" i="1"/>
  <c r="AB144" i="1"/>
  <c r="AE144" i="1" s="1"/>
  <c r="BF144" i="1"/>
  <c r="BD155" i="1"/>
  <c r="BG155" i="1" s="1"/>
  <c r="BH155" i="1" s="1"/>
  <c r="BD158" i="1"/>
  <c r="BD156" i="1"/>
  <c r="BC142" i="1"/>
  <c r="BC178" i="1"/>
  <c r="BF195" i="1"/>
  <c r="AD195" i="1"/>
  <c r="AG195" i="1" s="1"/>
  <c r="AC195" i="1"/>
  <c r="AF195" i="1" s="1"/>
  <c r="AB195" i="1"/>
  <c r="AE195" i="1" s="1"/>
  <c r="AX131" i="1"/>
  <c r="BD131" i="1" s="1"/>
  <c r="BA157" i="1"/>
  <c r="BF160" i="1"/>
  <c r="AD160" i="1"/>
  <c r="AG160" i="1" s="1"/>
  <c r="AC160" i="1"/>
  <c r="AF160" i="1" s="1"/>
  <c r="AB160" i="1"/>
  <c r="AE160" i="1" s="1"/>
  <c r="BD160" i="1"/>
  <c r="BF147" i="1"/>
  <c r="AD147" i="1"/>
  <c r="AG147" i="1" s="1"/>
  <c r="AC147" i="1"/>
  <c r="AF147" i="1" s="1"/>
  <c r="AB147" i="1"/>
  <c r="AE147" i="1" s="1"/>
  <c r="BD182" i="1"/>
  <c r="BC182" i="1"/>
  <c r="AB241" i="1"/>
  <c r="AE241" i="1" s="1"/>
  <c r="AD241" i="1"/>
  <c r="AG241" i="1" s="1"/>
  <c r="AC241" i="1"/>
  <c r="AF241" i="1" s="1"/>
  <c r="BF112" i="1"/>
  <c r="AC121" i="1"/>
  <c r="AF121" i="1" s="1"/>
  <c r="AC124" i="1"/>
  <c r="AF124" i="1" s="1"/>
  <c r="AC140" i="1"/>
  <c r="AF140" i="1" s="1"/>
  <c r="BC144" i="1"/>
  <c r="BF182" i="1"/>
  <c r="AD182" i="1"/>
  <c r="AG182" i="1" s="1"/>
  <c r="AC182" i="1"/>
  <c r="AF182" i="1" s="1"/>
  <c r="AB182" i="1"/>
  <c r="AE182" i="1" s="1"/>
  <c r="BD170" i="1"/>
  <c r="BC199" i="1"/>
  <c r="AE156" i="1"/>
  <c r="AF142" i="1"/>
  <c r="BD142" i="1"/>
  <c r="BC169" i="1"/>
  <c r="BA178" i="1"/>
  <c r="AE177" i="1"/>
  <c r="BC180" i="1"/>
  <c r="BA170" i="1"/>
  <c r="BC186" i="1"/>
  <c r="BA199" i="1"/>
  <c r="BC204" i="1"/>
  <c r="BA190" i="1"/>
  <c r="BC202" i="1"/>
  <c r="BA201" i="1"/>
  <c r="BC197" i="1"/>
  <c r="BA200" i="1"/>
  <c r="AE185" i="1"/>
  <c r="BC207" i="1"/>
  <c r="BA203" i="1"/>
  <c r="AE208" i="1"/>
  <c r="BD195" i="1"/>
  <c r="BC195" i="1"/>
  <c r="BC190" i="1"/>
  <c r="BF194" i="1"/>
  <c r="AD194" i="1"/>
  <c r="AG194" i="1" s="1"/>
  <c r="AC194" i="1"/>
  <c r="AF194" i="1" s="1"/>
  <c r="AB194" i="1"/>
  <c r="AE194" i="1" s="1"/>
  <c r="BD194" i="1"/>
  <c r="BC194" i="1"/>
  <c r="BC201" i="1"/>
  <c r="BF205" i="1"/>
  <c r="AD205" i="1"/>
  <c r="AC205" i="1"/>
  <c r="AF205" i="1" s="1"/>
  <c r="AB205" i="1"/>
  <c r="AE205" i="1" s="1"/>
  <c r="BD205" i="1"/>
  <c r="BC205" i="1"/>
  <c r="BC200" i="1"/>
  <c r="BF192" i="1"/>
  <c r="AD192" i="1"/>
  <c r="AG192" i="1" s="1"/>
  <c r="AC192" i="1"/>
  <c r="AF192" i="1" s="1"/>
  <c r="AB192" i="1"/>
  <c r="AE192" i="1" s="1"/>
  <c r="BD192" i="1"/>
  <c r="BC192" i="1"/>
  <c r="BC203" i="1"/>
  <c r="BF223" i="1"/>
  <c r="AD223" i="1"/>
  <c r="AG223" i="1" s="1"/>
  <c r="AC223" i="1"/>
  <c r="AF223" i="1" s="1"/>
  <c r="AB223" i="1"/>
  <c r="AE223" i="1" s="1"/>
  <c r="BD223" i="1"/>
  <c r="BC223" i="1"/>
  <c r="BC230" i="1"/>
  <c r="AC238" i="1"/>
  <c r="AF238" i="1" s="1"/>
  <c r="BF238" i="1"/>
  <c r="AD238" i="1"/>
  <c r="AG238" i="1" s="1"/>
  <c r="AB238" i="1"/>
  <c r="AE238" i="1" s="1"/>
  <c r="BF237" i="1"/>
  <c r="AD237" i="1"/>
  <c r="AG237" i="1" s="1"/>
  <c r="BA237" i="1"/>
  <c r="BF209" i="1"/>
  <c r="BD244" i="1"/>
  <c r="AC240" i="1"/>
  <c r="AF240" i="1" s="1"/>
  <c r="AB240" i="1"/>
  <c r="AE240" i="1" s="1"/>
  <c r="BF240" i="1"/>
  <c r="BC276" i="1"/>
  <c r="BD279" i="1"/>
  <c r="AD157" i="1"/>
  <c r="AG157" i="1" s="1"/>
  <c r="BF157" i="1"/>
  <c r="AD156" i="1"/>
  <c r="AG156" i="1" s="1"/>
  <c r="BF156" i="1"/>
  <c r="AB237" i="1"/>
  <c r="AE237" i="1" s="1"/>
  <c r="AB247" i="1"/>
  <c r="AE247" i="1" s="1"/>
  <c r="AC209" i="1"/>
  <c r="AF209" i="1" s="1"/>
  <c r="AD240" i="1"/>
  <c r="AG240" i="1" s="1"/>
  <c r="BD168" i="1"/>
  <c r="BD258" i="1"/>
  <c r="BD265" i="1"/>
  <c r="BD266" i="1"/>
  <c r="BD273" i="1"/>
  <c r="BC273" i="1"/>
  <c r="BC288" i="1"/>
  <c r="BD283" i="1"/>
  <c r="BF291" i="1"/>
  <c r="AD291" i="1"/>
  <c r="AG291" i="1" s="1"/>
  <c r="AC291" i="1"/>
  <c r="AF291" i="1" s="1"/>
  <c r="AB291" i="1"/>
  <c r="AE291" i="1" s="1"/>
  <c r="BC291" i="1"/>
  <c r="BC284" i="1"/>
  <c r="BD329" i="1"/>
  <c r="AB162" i="1"/>
  <c r="AE162" i="1" s="1"/>
  <c r="AB142" i="1"/>
  <c r="AE142" i="1" s="1"/>
  <c r="AB169" i="1"/>
  <c r="AE169" i="1" s="1"/>
  <c r="AB180" i="1"/>
  <c r="AE180" i="1" s="1"/>
  <c r="AB186" i="1"/>
  <c r="AE186" i="1" s="1"/>
  <c r="AB204" i="1"/>
  <c r="AE204" i="1" s="1"/>
  <c r="AB202" i="1"/>
  <c r="AE202" i="1" s="1"/>
  <c r="AB197" i="1"/>
  <c r="AE197" i="1" s="1"/>
  <c r="AB207" i="1"/>
  <c r="AE207" i="1" s="1"/>
  <c r="AB225" i="1"/>
  <c r="AE225" i="1" s="1"/>
  <c r="BF232" i="1"/>
  <c r="BC241" i="1"/>
  <c r="BF242" i="1"/>
  <c r="AD242" i="1"/>
  <c r="BA242" i="1"/>
  <c r="BF210" i="1"/>
  <c r="AC237" i="1"/>
  <c r="AF237" i="1" s="1"/>
  <c r="AD247" i="1"/>
  <c r="AD209" i="1"/>
  <c r="BC209" i="1"/>
  <c r="BF222" i="1"/>
  <c r="AD222" i="1"/>
  <c r="AG222" i="1" s="1"/>
  <c r="BD222" i="1"/>
  <c r="BA222" i="1"/>
  <c r="BD240" i="1"/>
  <c r="AE125" i="1"/>
  <c r="AE168" i="1"/>
  <c r="AG257" i="1"/>
  <c r="BD257" i="1"/>
  <c r="AE252" i="1"/>
  <c r="BD249" i="1"/>
  <c r="BC278" i="1"/>
  <c r="AC232" i="1"/>
  <c r="AF232" i="1" s="1"/>
  <c r="BD238" i="1"/>
  <c r="BD241" i="1"/>
  <c r="BG241" i="1" s="1"/>
  <c r="BH241" i="1" s="1"/>
  <c r="BD247" i="1"/>
  <c r="BF247" i="1"/>
  <c r="BD209" i="1"/>
  <c r="BC240" i="1"/>
  <c r="BD125" i="1"/>
  <c r="BA168" i="1"/>
  <c r="BF250" i="1"/>
  <c r="AD250" i="1"/>
  <c r="AG250" i="1" s="1"/>
  <c r="AC250" i="1"/>
  <c r="AF250" i="1" s="1"/>
  <c r="AB250" i="1"/>
  <c r="AE250" i="1" s="1"/>
  <c r="BD250" i="1"/>
  <c r="BC250" i="1"/>
  <c r="BA258" i="1"/>
  <c r="BF264" i="1"/>
  <c r="AD264" i="1"/>
  <c r="AG264" i="1" s="1"/>
  <c r="AC264" i="1"/>
  <c r="AF264" i="1" s="1"/>
  <c r="AB264" i="1"/>
  <c r="AE264" i="1" s="1"/>
  <c r="BD264" i="1"/>
  <c r="BC264" i="1"/>
  <c r="BA265" i="1"/>
  <c r="BF269" i="1"/>
  <c r="AD269" i="1"/>
  <c r="AG269" i="1" s="1"/>
  <c r="AC269" i="1"/>
  <c r="AF269" i="1" s="1"/>
  <c r="AB269" i="1"/>
  <c r="AE269" i="1" s="1"/>
  <c r="BD269" i="1"/>
  <c r="BC269" i="1"/>
  <c r="BA266" i="1"/>
  <c r="BF251" i="1"/>
  <c r="AD251" i="1"/>
  <c r="AG251" i="1" s="1"/>
  <c r="AC251" i="1"/>
  <c r="AF251" i="1" s="1"/>
  <c r="AB251" i="1"/>
  <c r="AE251" i="1" s="1"/>
  <c r="BD251" i="1"/>
  <c r="BC251" i="1"/>
  <c r="BC267" i="1"/>
  <c r="BD271" i="1"/>
  <c r="BC271" i="1"/>
  <c r="BC275" i="1"/>
  <c r="BC286" i="1"/>
  <c r="BF305" i="1"/>
  <c r="AD305" i="1"/>
  <c r="AG305" i="1" s="1"/>
  <c r="AX305" i="1"/>
  <c r="BD305" i="1" s="1"/>
  <c r="AC305" i="1"/>
  <c r="AF305" i="1" s="1"/>
  <c r="AB305" i="1"/>
  <c r="AE305" i="1" s="1"/>
  <c r="AC310" i="1"/>
  <c r="AF310" i="1" s="1"/>
  <c r="AB310" i="1"/>
  <c r="AE310" i="1" s="1"/>
  <c r="AD310" i="1"/>
  <c r="AG310" i="1" s="1"/>
  <c r="BF310" i="1"/>
  <c r="AX310" i="1"/>
  <c r="BD310" i="1" s="1"/>
  <c r="AD125" i="1"/>
  <c r="AG125" i="1" s="1"/>
  <c r="AD168" i="1"/>
  <c r="AG168" i="1" s="1"/>
  <c r="BF168" i="1"/>
  <c r="AD258" i="1"/>
  <c r="AG258" i="1" s="1"/>
  <c r="BF258" i="1"/>
  <c r="AD265" i="1"/>
  <c r="AG265" i="1" s="1"/>
  <c r="BF265" i="1"/>
  <c r="AD266" i="1"/>
  <c r="AG266" i="1" s="1"/>
  <c r="BF266" i="1"/>
  <c r="AD267" i="1"/>
  <c r="BC249" i="1"/>
  <c r="BF256" i="1"/>
  <c r="AD256" i="1"/>
  <c r="BA256" i="1"/>
  <c r="BF268" i="1"/>
  <c r="BC279" i="1"/>
  <c r="BF289" i="1"/>
  <c r="AD289" i="1"/>
  <c r="BA289" i="1"/>
  <c r="BF288" i="1"/>
  <c r="BD291" i="1"/>
  <c r="BD287" i="1"/>
  <c r="AC284" i="1"/>
  <c r="AF284" i="1" s="1"/>
  <c r="AB284" i="1"/>
  <c r="AE284" i="1" s="1"/>
  <c r="AG284" i="1"/>
  <c r="BF284" i="1"/>
  <c r="BC294" i="1"/>
  <c r="BF130" i="1"/>
  <c r="AD130" i="1"/>
  <c r="AG130" i="1" s="1"/>
  <c r="AX130" i="1"/>
  <c r="BD130" i="1" s="1"/>
  <c r="AC130" i="1"/>
  <c r="AF130" i="1" s="1"/>
  <c r="AB130" i="1"/>
  <c r="AE130" i="1" s="1"/>
  <c r="AC295" i="1"/>
  <c r="AF295" i="1" s="1"/>
  <c r="AD295" i="1"/>
  <c r="AG295" i="1" s="1"/>
  <c r="AX295" i="1"/>
  <c r="BD295" i="1" s="1"/>
  <c r="AB295" i="1"/>
  <c r="AE295" i="1" s="1"/>
  <c r="BA296" i="1"/>
  <c r="BD301" i="1"/>
  <c r="AC134" i="1"/>
  <c r="AF134" i="1" s="1"/>
  <c r="BF134" i="1"/>
  <c r="AD134" i="1"/>
  <c r="AG134" i="1" s="1"/>
  <c r="AC308" i="1"/>
  <c r="AF308" i="1" s="1"/>
  <c r="AB308" i="1"/>
  <c r="AE308" i="1" s="1"/>
  <c r="BF267" i="1"/>
  <c r="BD276" i="1"/>
  <c r="BD278" i="1"/>
  <c r="BC287" i="1"/>
  <c r="BA282" i="1"/>
  <c r="BF277" i="1"/>
  <c r="AD277" i="1"/>
  <c r="AG277" i="1" s="1"/>
  <c r="AC277" i="1"/>
  <c r="AF277" i="1" s="1"/>
  <c r="AC294" i="1"/>
  <c r="AF294" i="1" s="1"/>
  <c r="AB294" i="1"/>
  <c r="AE294" i="1" s="1"/>
  <c r="AX294" i="1"/>
  <c r="BD294" i="1" s="1"/>
  <c r="BF294" i="1"/>
  <c r="AB296" i="1"/>
  <c r="AE296" i="1" s="1"/>
  <c r="AD296" i="1"/>
  <c r="AG296" i="1" s="1"/>
  <c r="AC296" i="1"/>
  <c r="AF296" i="1" s="1"/>
  <c r="BC299" i="1"/>
  <c r="BC303" i="1"/>
  <c r="AB134" i="1"/>
  <c r="AE134" i="1" s="1"/>
  <c r="BF306" i="1"/>
  <c r="AD306" i="1"/>
  <c r="AG306" i="1" s="1"/>
  <c r="AX306" i="1"/>
  <c r="AC306" i="1"/>
  <c r="AF306" i="1" s="1"/>
  <c r="AB306" i="1"/>
  <c r="AE306" i="1" s="1"/>
  <c r="BF307" i="1"/>
  <c r="AD307" i="1"/>
  <c r="AG307" i="1" s="1"/>
  <c r="AC307" i="1"/>
  <c r="AF307" i="1" s="1"/>
  <c r="AX307" i="1"/>
  <c r="BD307" i="1" s="1"/>
  <c r="AD308" i="1"/>
  <c r="AG308" i="1" s="1"/>
  <c r="AX308" i="1"/>
  <c r="BF308" i="1"/>
  <c r="BF129" i="1"/>
  <c r="AD129" i="1"/>
  <c r="AC129" i="1"/>
  <c r="AF129" i="1" s="1"/>
  <c r="AB129" i="1"/>
  <c r="AE129" i="1" s="1"/>
  <c r="BA311" i="1"/>
  <c r="AC312" i="1"/>
  <c r="AF312" i="1" s="1"/>
  <c r="AB312" i="1"/>
  <c r="AE312" i="1" s="1"/>
  <c r="AD312" i="1"/>
  <c r="AG312" i="1" s="1"/>
  <c r="BC312" i="1"/>
  <c r="BA316" i="1"/>
  <c r="BD316" i="1"/>
  <c r="BF271" i="1"/>
  <c r="AD271" i="1"/>
  <c r="BA271" i="1"/>
  <c r="BF249" i="1"/>
  <c r="AC256" i="1"/>
  <c r="AF256" i="1" s="1"/>
  <c r="AD275" i="1"/>
  <c r="AG275" i="1" s="1"/>
  <c r="AD268" i="1"/>
  <c r="AG268" i="1" s="1"/>
  <c r="BC268" i="1"/>
  <c r="BF273" i="1"/>
  <c r="AD273" i="1"/>
  <c r="BA273" i="1"/>
  <c r="BF279" i="1"/>
  <c r="AC289" i="1"/>
  <c r="AF289" i="1" s="1"/>
  <c r="AD288" i="1"/>
  <c r="BD288" i="1"/>
  <c r="AE286" i="1"/>
  <c r="AC287" i="1"/>
  <c r="AF287" i="1" s="1"/>
  <c r="AB287" i="1"/>
  <c r="AE287" i="1" s="1"/>
  <c r="AG287" i="1"/>
  <c r="BF287" i="1"/>
  <c r="AB277" i="1"/>
  <c r="AE277" i="1" s="1"/>
  <c r="BD277" i="1"/>
  <c r="BD284" i="1"/>
  <c r="AE292" i="1"/>
  <c r="BA329" i="1"/>
  <c r="BF293" i="1"/>
  <c r="AD293" i="1"/>
  <c r="AG293" i="1" s="1"/>
  <c r="AC293" i="1"/>
  <c r="AF293" i="1" s="1"/>
  <c r="AD294" i="1"/>
  <c r="BF295" i="1"/>
  <c r="BD297" i="1"/>
  <c r="BD304" i="1"/>
  <c r="BC134" i="1"/>
  <c r="AB331" i="1"/>
  <c r="AE331" i="1" s="1"/>
  <c r="AX331" i="1"/>
  <c r="BD331" i="1" s="1"/>
  <c r="BG331" i="1" s="1"/>
  <c r="BH331" i="1" s="1"/>
  <c r="AD331" i="1"/>
  <c r="AG331" i="1" s="1"/>
  <c r="AB307" i="1"/>
  <c r="AE307" i="1" s="1"/>
  <c r="AX312" i="1"/>
  <c r="BD312" i="1" s="1"/>
  <c r="BF312" i="1"/>
  <c r="BF327" i="1"/>
  <c r="AD327" i="1"/>
  <c r="AG327" i="1" s="1"/>
  <c r="BA327" i="1"/>
  <c r="BF299" i="1"/>
  <c r="BC331" i="1"/>
  <c r="BA309" i="1"/>
  <c r="BD129" i="1"/>
  <c r="BC296" i="1"/>
  <c r="AB327" i="1"/>
  <c r="AE327" i="1" s="1"/>
  <c r="AB298" i="1"/>
  <c r="AE298" i="1" s="1"/>
  <c r="AX298" i="1"/>
  <c r="AC299" i="1"/>
  <c r="AF299" i="1" s="1"/>
  <c r="BF301" i="1"/>
  <c r="AD301" i="1"/>
  <c r="BA301" i="1"/>
  <c r="BF303" i="1"/>
  <c r="BD134" i="1"/>
  <c r="BC308" i="1"/>
  <c r="BF107" i="1"/>
  <c r="AD107" i="1"/>
  <c r="AG107" i="1" s="1"/>
  <c r="AC107" i="1"/>
  <c r="AF107" i="1" s="1"/>
  <c r="AB107" i="1"/>
  <c r="AE107" i="1" s="1"/>
  <c r="AC323" i="1"/>
  <c r="AF323" i="1" s="1"/>
  <c r="BF323" i="1"/>
  <c r="AD323" i="1"/>
  <c r="AB323" i="1"/>
  <c r="AE323" i="1" s="1"/>
  <c r="AD309" i="1"/>
  <c r="BF309" i="1"/>
  <c r="AX311" i="1"/>
  <c r="BA326" i="1"/>
  <c r="BD69" i="1"/>
  <c r="BG69" i="1" s="1"/>
  <c r="BH69" i="1" s="1"/>
  <c r="AE313" i="1"/>
  <c r="BC313" i="1"/>
  <c r="AC314" i="1"/>
  <c r="AF314" i="1" s="1"/>
  <c r="AD314" i="1"/>
  <c r="AG314" i="1" s="1"/>
  <c r="AX314" i="1"/>
  <c r="BD314" i="1" s="1"/>
  <c r="BG314" i="1" s="1"/>
  <c r="BH314" i="1" s="1"/>
  <c r="AB314" i="1"/>
  <c r="AE314" i="1" s="1"/>
  <c r="BA315" i="1"/>
  <c r="BD317" i="1"/>
  <c r="BA320" i="1"/>
  <c r="AB322" i="1"/>
  <c r="AE322" i="1" s="1"/>
  <c r="BF322" i="1"/>
  <c r="AD322" i="1"/>
  <c r="AG322" i="1" s="1"/>
  <c r="AX322" i="1"/>
  <c r="BD322" i="1" s="1"/>
  <c r="AC322" i="1"/>
  <c r="AF322" i="1" s="1"/>
  <c r="BD10" i="1"/>
  <c r="BC10" i="1"/>
  <c r="BD54" i="1"/>
  <c r="BC54" i="1"/>
  <c r="BF315" i="1"/>
  <c r="BD132" i="1"/>
  <c r="BF10" i="1"/>
  <c r="AD10" i="1"/>
  <c r="AG10" i="1" s="1"/>
  <c r="AB10" i="1"/>
  <c r="AE10" i="1" s="1"/>
  <c r="AB54" i="1"/>
  <c r="AE54" i="1" s="1"/>
  <c r="BF54" i="1"/>
  <c r="AD54" i="1"/>
  <c r="AG54" i="1" s="1"/>
  <c r="BD212" i="1"/>
  <c r="BF280" i="1"/>
  <c r="AD280" i="1"/>
  <c r="AG280" i="1" s="1"/>
  <c r="AC280" i="1"/>
  <c r="AF280" i="1" s="1"/>
  <c r="AB280" i="1"/>
  <c r="AE280" i="1" s="1"/>
  <c r="BD280" i="1"/>
  <c r="AX313" i="1"/>
  <c r="BD313" i="1" s="1"/>
  <c r="AC315" i="1"/>
  <c r="AF315" i="1" s="1"/>
  <c r="BF317" i="1"/>
  <c r="AD317" i="1"/>
  <c r="AG317" i="1" s="1"/>
  <c r="BA317" i="1"/>
  <c r="BF319" i="1"/>
  <c r="BA322" i="1"/>
  <c r="AC10" i="1"/>
  <c r="AF10" i="1" s="1"/>
  <c r="AC54" i="1"/>
  <c r="AF54" i="1" s="1"/>
  <c r="AF128" i="1"/>
  <c r="BD148" i="1"/>
  <c r="BA76" i="1"/>
  <c r="AX326" i="1"/>
  <c r="AD315" i="1"/>
  <c r="BC315" i="1"/>
  <c r="BF132" i="1"/>
  <c r="AD132" i="1"/>
  <c r="AG132" i="1" s="1"/>
  <c r="BA132" i="1"/>
  <c r="BC322" i="1"/>
  <c r="BD128" i="1"/>
  <c r="AB187" i="1"/>
  <c r="AE187" i="1" s="1"/>
  <c r="AD187" i="1"/>
  <c r="AG187" i="1" s="1"/>
  <c r="AC187" i="1"/>
  <c r="AF187" i="1" s="1"/>
  <c r="BF187" i="1"/>
  <c r="BF73" i="1"/>
  <c r="AD73" i="1"/>
  <c r="AC73" i="1"/>
  <c r="AF73" i="1" s="1"/>
  <c r="AB73" i="1"/>
  <c r="AE73" i="1" s="1"/>
  <c r="AX321" i="1"/>
  <c r="AD148" i="1"/>
  <c r="AG148" i="1" s="1"/>
  <c r="BF148" i="1"/>
  <c r="BD75" i="1"/>
  <c r="BA74" i="1"/>
  <c r="BC68" i="1"/>
  <c r="BD76" i="1"/>
  <c r="BC187" i="1"/>
  <c r="BC75" i="1"/>
  <c r="BD138" i="1"/>
  <c r="BG138" i="1" s="1"/>
  <c r="BH138" i="1" s="1"/>
  <c r="BD323" i="1"/>
  <c r="BD187" i="1"/>
  <c r="AE135" i="1"/>
  <c r="AB75" i="1"/>
  <c r="AE75" i="1" s="1"/>
  <c r="BF75" i="1"/>
  <c r="BF74" i="1"/>
  <c r="AD74" i="1"/>
  <c r="AB74" i="1"/>
  <c r="AE74" i="1" s="1"/>
  <c r="AC68" i="1"/>
  <c r="AF68" i="1" s="1"/>
  <c r="AB68" i="1"/>
  <c r="AE68" i="1" s="1"/>
  <c r="AG68" i="1"/>
  <c r="BC71" i="1"/>
  <c r="BF70" i="1"/>
  <c r="AD70" i="1"/>
  <c r="AG70" i="1" s="1"/>
  <c r="AC70" i="1"/>
  <c r="AF70" i="1" s="1"/>
  <c r="BC70" i="1"/>
  <c r="BF141" i="1"/>
  <c r="AC141" i="1"/>
  <c r="AF141" i="1" s="1"/>
  <c r="AB141" i="1"/>
  <c r="AE141" i="1" s="1"/>
  <c r="AG141" i="1"/>
  <c r="BD141" i="1"/>
  <c r="BF22" i="1"/>
  <c r="AD22" i="1"/>
  <c r="AC22" i="1"/>
  <c r="AF22" i="1" s="1"/>
  <c r="AB22" i="1"/>
  <c r="AE22" i="1" s="1"/>
  <c r="BD22" i="1"/>
  <c r="BC22" i="1"/>
  <c r="BD73" i="1"/>
  <c r="BD68" i="1"/>
  <c r="AE71" i="1"/>
  <c r="BC141" i="1"/>
  <c r="BA138" i="1"/>
  <c r="AB136" i="1"/>
  <c r="AE136" i="1" s="1"/>
  <c r="AD143" i="1"/>
  <c r="BG128" i="1" l="1"/>
  <c r="BH128" i="1" s="1"/>
  <c r="BJ128" i="1" s="1"/>
  <c r="BG125" i="1"/>
  <c r="BH125" i="1" s="1"/>
  <c r="BJ125" i="1" s="1"/>
  <c r="BG68" i="1"/>
  <c r="BH68" i="1" s="1"/>
  <c r="BI68" i="1" s="1"/>
  <c r="BG92" i="1"/>
  <c r="BH92" i="1" s="1"/>
  <c r="BJ92" i="1" s="1"/>
  <c r="AR212" i="1"/>
  <c r="AT212" i="1" s="1"/>
  <c r="AU212" i="1" s="1"/>
  <c r="BG278" i="1"/>
  <c r="BH278" i="1" s="1"/>
  <c r="BI278" i="1" s="1"/>
  <c r="BG289" i="1"/>
  <c r="BH289" i="1" s="1"/>
  <c r="BJ289" i="1" s="1"/>
  <c r="BG309" i="1"/>
  <c r="BH309" i="1" s="1"/>
  <c r="BI309" i="1" s="1"/>
  <c r="BG210" i="1"/>
  <c r="BH210" i="1" s="1"/>
  <c r="BJ210" i="1" s="1"/>
  <c r="BG329" i="1"/>
  <c r="BH329" i="1" s="1"/>
  <c r="BJ329" i="1" s="1"/>
  <c r="BG66" i="1"/>
  <c r="BH66" i="1" s="1"/>
  <c r="BJ66" i="1" s="1"/>
  <c r="BG282" i="1"/>
  <c r="BH282" i="1" s="1"/>
  <c r="BI282" i="1" s="1"/>
  <c r="AY278" i="1"/>
  <c r="BG243" i="1"/>
  <c r="BH243" i="1" s="1"/>
  <c r="BJ243" i="1" s="1"/>
  <c r="BG166" i="1"/>
  <c r="BH166" i="1" s="1"/>
  <c r="BJ166" i="1" s="1"/>
  <c r="BG316" i="1"/>
  <c r="BH316" i="1" s="1"/>
  <c r="BJ316" i="1" s="1"/>
  <c r="BG101" i="1"/>
  <c r="BH101" i="1" s="1"/>
  <c r="BJ101" i="1" s="1"/>
  <c r="AY321" i="1"/>
  <c r="BG164" i="1"/>
  <c r="BH164" i="1" s="1"/>
  <c r="BI164" i="1" s="1"/>
  <c r="BG91" i="1"/>
  <c r="BH91" i="1" s="1"/>
  <c r="BI91" i="1" s="1"/>
  <c r="BG156" i="1"/>
  <c r="BH156" i="1" s="1"/>
  <c r="BJ156" i="1" s="1"/>
  <c r="BG142" i="1"/>
  <c r="BH142" i="1" s="1"/>
  <c r="BJ142" i="1" s="1"/>
  <c r="BG144" i="1"/>
  <c r="BH144" i="1" s="1"/>
  <c r="BI144" i="1" s="1"/>
  <c r="BG51" i="1"/>
  <c r="BH51" i="1" s="1"/>
  <c r="BJ51" i="1" s="1"/>
  <c r="BG270" i="1"/>
  <c r="BH270" i="1" s="1"/>
  <c r="BI270" i="1" s="1"/>
  <c r="BG104" i="1"/>
  <c r="BH104" i="1" s="1"/>
  <c r="BI104" i="1" s="1"/>
  <c r="BG88" i="1"/>
  <c r="BH88" i="1" s="1"/>
  <c r="BJ88" i="1" s="1"/>
  <c r="AH212" i="1"/>
  <c r="BG252" i="1"/>
  <c r="BH252" i="1" s="1"/>
  <c r="BI252" i="1" s="1"/>
  <c r="BG52" i="1"/>
  <c r="BH52" i="1" s="1"/>
  <c r="BJ52" i="1" s="1"/>
  <c r="AH201" i="1"/>
  <c r="BG285" i="1"/>
  <c r="BH285" i="1" s="1"/>
  <c r="BJ285" i="1" s="1"/>
  <c r="BG97" i="1"/>
  <c r="BH97" i="1" s="1"/>
  <c r="BI97" i="1" s="1"/>
  <c r="BG71" i="1"/>
  <c r="BH71" i="1" s="1"/>
  <c r="BI71" i="1" s="1"/>
  <c r="BG133" i="1"/>
  <c r="BH133" i="1" s="1"/>
  <c r="BI133" i="1" s="1"/>
  <c r="BG327" i="1"/>
  <c r="BH327" i="1" s="1"/>
  <c r="BJ327" i="1" s="1"/>
  <c r="AH276" i="1"/>
  <c r="BG72" i="1"/>
  <c r="BH72" i="1" s="1"/>
  <c r="BJ72" i="1" s="1"/>
  <c r="AY276" i="1"/>
  <c r="BG16" i="1"/>
  <c r="BH16" i="1" s="1"/>
  <c r="BI16" i="1" s="1"/>
  <c r="BG276" i="1"/>
  <c r="BH276" i="1" s="1"/>
  <c r="BI276" i="1" s="1"/>
  <c r="BG147" i="1"/>
  <c r="BH147" i="1" s="1"/>
  <c r="BJ147" i="1" s="1"/>
  <c r="BG290" i="1"/>
  <c r="BH290" i="1" s="1"/>
  <c r="BI290" i="1" s="1"/>
  <c r="AY126" i="1"/>
  <c r="AY212" i="1"/>
  <c r="AK212" i="1"/>
  <c r="BG170" i="1"/>
  <c r="BH170" i="1" s="1"/>
  <c r="BI170" i="1" s="1"/>
  <c r="BG158" i="1"/>
  <c r="BH158" i="1" s="1"/>
  <c r="BI158" i="1" s="1"/>
  <c r="BG87" i="1"/>
  <c r="BH87" i="1" s="1"/>
  <c r="BI87" i="1" s="1"/>
  <c r="BG102" i="1"/>
  <c r="BH102" i="1" s="1"/>
  <c r="BI102" i="1" s="1"/>
  <c r="BG208" i="1"/>
  <c r="BH208" i="1" s="1"/>
  <c r="BJ208" i="1" s="1"/>
  <c r="BG82" i="1"/>
  <c r="BH82" i="1" s="1"/>
  <c r="BJ82" i="1" s="1"/>
  <c r="BG320" i="1"/>
  <c r="BH320" i="1" s="1"/>
  <c r="BJ320" i="1" s="1"/>
  <c r="BG76" i="1"/>
  <c r="BH76" i="1" s="1"/>
  <c r="BJ76" i="1" s="1"/>
  <c r="BG86" i="1"/>
  <c r="BH86" i="1" s="1"/>
  <c r="BJ86" i="1" s="1"/>
  <c r="AY286" i="1"/>
  <c r="BG249" i="1"/>
  <c r="BH249" i="1" s="1"/>
  <c r="BJ249" i="1" s="1"/>
  <c r="BG256" i="1"/>
  <c r="BH256" i="1" s="1"/>
  <c r="BJ256" i="1" s="1"/>
  <c r="BG89" i="1"/>
  <c r="BH89" i="1" s="1"/>
  <c r="BI89" i="1" s="1"/>
  <c r="BG196" i="1"/>
  <c r="BH196" i="1" s="1"/>
  <c r="BI196" i="1" s="1"/>
  <c r="BG207" i="1"/>
  <c r="BH207" i="1" s="1"/>
  <c r="BI207" i="1" s="1"/>
  <c r="BG135" i="1"/>
  <c r="BH135" i="1" s="1"/>
  <c r="BI135" i="1" s="1"/>
  <c r="AY329" i="1"/>
  <c r="BG193" i="1"/>
  <c r="BH193" i="1" s="1"/>
  <c r="BJ193" i="1" s="1"/>
  <c r="BG286" i="1"/>
  <c r="BH286" i="1" s="1"/>
  <c r="BJ286" i="1" s="1"/>
  <c r="BG136" i="1"/>
  <c r="BH136" i="1" s="1"/>
  <c r="BI136" i="1" s="1"/>
  <c r="BG169" i="1"/>
  <c r="BH169" i="1" s="1"/>
  <c r="BI169" i="1" s="1"/>
  <c r="BG107" i="1"/>
  <c r="BH107" i="1" s="1"/>
  <c r="BI107" i="1" s="1"/>
  <c r="AK201" i="1"/>
  <c r="BG184" i="1"/>
  <c r="BH184" i="1" s="1"/>
  <c r="BI184" i="1" s="1"/>
  <c r="AY257" i="1"/>
  <c r="BG236" i="1"/>
  <c r="BH236" i="1" s="1"/>
  <c r="BI236" i="1" s="1"/>
  <c r="BG203" i="1"/>
  <c r="BH203" i="1" s="1"/>
  <c r="BJ203" i="1" s="1"/>
  <c r="BG121" i="1"/>
  <c r="BH121" i="1" s="1"/>
  <c r="BJ121" i="1" s="1"/>
  <c r="AY52" i="1"/>
  <c r="BG23" i="1"/>
  <c r="BH23" i="1" s="1"/>
  <c r="BG7" i="1"/>
  <c r="BH7" i="1" s="1"/>
  <c r="BJ7" i="1" s="1"/>
  <c r="BG110" i="1"/>
  <c r="BH110" i="1" s="1"/>
  <c r="BI110" i="1" s="1"/>
  <c r="BG85" i="1"/>
  <c r="BH85" i="1" s="1"/>
  <c r="BI85" i="1" s="1"/>
  <c r="BG304" i="1"/>
  <c r="BH304" i="1" s="1"/>
  <c r="BJ304" i="1" s="1"/>
  <c r="BG242" i="1"/>
  <c r="BH242" i="1" s="1"/>
  <c r="BJ242" i="1" s="1"/>
  <c r="AR104" i="1"/>
  <c r="AT104" i="1" s="1"/>
  <c r="AU104" i="1" s="1"/>
  <c r="AY71" i="1"/>
  <c r="BG54" i="1"/>
  <c r="BH54" i="1" s="1"/>
  <c r="BJ54" i="1" s="1"/>
  <c r="AR313" i="1"/>
  <c r="AT313" i="1" s="1"/>
  <c r="AU313" i="1" s="1"/>
  <c r="BG257" i="1"/>
  <c r="BH257" i="1" s="1"/>
  <c r="BI257" i="1" s="1"/>
  <c r="BG157" i="1"/>
  <c r="BH157" i="1" s="1"/>
  <c r="BJ157" i="1" s="1"/>
  <c r="BG93" i="1"/>
  <c r="BH93" i="1" s="1"/>
  <c r="BJ93" i="1" s="1"/>
  <c r="BG139" i="1"/>
  <c r="BH139" i="1" s="1"/>
  <c r="BI139" i="1" s="1"/>
  <c r="AK138" i="1"/>
  <c r="BG272" i="1"/>
  <c r="BH272" i="1" s="1"/>
  <c r="BI272" i="1" s="1"/>
  <c r="BG137" i="1"/>
  <c r="BH137" i="1" s="1"/>
  <c r="BJ137" i="1" s="1"/>
  <c r="BG122" i="1"/>
  <c r="BH122" i="1" s="1"/>
  <c r="BJ122" i="1" s="1"/>
  <c r="AR133" i="1"/>
  <c r="AT133" i="1" s="1"/>
  <c r="AU133" i="1" s="1"/>
  <c r="AY99" i="1"/>
  <c r="AH88" i="1"/>
  <c r="AH80" i="1"/>
  <c r="AH76" i="1"/>
  <c r="AY193" i="1"/>
  <c r="AY95" i="1"/>
  <c r="AY114" i="1"/>
  <c r="AR282" i="1"/>
  <c r="AT282" i="1" s="1"/>
  <c r="AU282" i="1" s="1"/>
  <c r="AK282" i="1"/>
  <c r="AY282" i="1"/>
  <c r="AH282" i="1"/>
  <c r="AH317" i="1"/>
  <c r="BG140" i="1"/>
  <c r="BH140" i="1" s="1"/>
  <c r="BJ140" i="1" s="1"/>
  <c r="AH330" i="1"/>
  <c r="BG302" i="1"/>
  <c r="BH302" i="1" s="1"/>
  <c r="BI302" i="1" s="1"/>
  <c r="BG225" i="1"/>
  <c r="BH225" i="1" s="1"/>
  <c r="BI225" i="1" s="1"/>
  <c r="BG204" i="1"/>
  <c r="BH204" i="1" s="1"/>
  <c r="BJ204" i="1" s="1"/>
  <c r="BG59" i="1"/>
  <c r="BH59" i="1" s="1"/>
  <c r="BI59" i="1" s="1"/>
  <c r="AY201" i="1"/>
  <c r="BG112" i="1"/>
  <c r="BH112" i="1" s="1"/>
  <c r="BJ112" i="1" s="1"/>
  <c r="AR201" i="1"/>
  <c r="AT201" i="1" s="1"/>
  <c r="AU201" i="1" s="1"/>
  <c r="AR80" i="1"/>
  <c r="AT80" i="1" s="1"/>
  <c r="AU80" i="1" s="1"/>
  <c r="BG274" i="1"/>
  <c r="BH274" i="1" s="1"/>
  <c r="BI274" i="1" s="1"/>
  <c r="AY76" i="1"/>
  <c r="BG186" i="1"/>
  <c r="BH186" i="1" s="1"/>
  <c r="BI186" i="1" s="1"/>
  <c r="BG95" i="1"/>
  <c r="BH95" i="1" s="1"/>
  <c r="BJ95" i="1" s="1"/>
  <c r="AR90" i="1"/>
  <c r="AT90" i="1" s="1"/>
  <c r="AU90" i="1" s="1"/>
  <c r="BG330" i="1"/>
  <c r="BH330" i="1" s="1"/>
  <c r="BJ330" i="1" s="1"/>
  <c r="BG70" i="1"/>
  <c r="BH70" i="1" s="1"/>
  <c r="BI70" i="1" s="1"/>
  <c r="AK302" i="1"/>
  <c r="AR196" i="1"/>
  <c r="AT196" i="1" s="1"/>
  <c r="AU196" i="1" s="1"/>
  <c r="AR118" i="1"/>
  <c r="AT118" i="1" s="1"/>
  <c r="AU118" i="1" s="1"/>
  <c r="BG235" i="1"/>
  <c r="BH235" i="1" s="1"/>
  <c r="BI235" i="1" s="1"/>
  <c r="AY18" i="1"/>
  <c r="BG127" i="1"/>
  <c r="BH127" i="1" s="1"/>
  <c r="BI127" i="1" s="1"/>
  <c r="AY290" i="1"/>
  <c r="AH21" i="1"/>
  <c r="AR98" i="1"/>
  <c r="AT98" i="1" s="1"/>
  <c r="AU98" i="1" s="1"/>
  <c r="BG197" i="1"/>
  <c r="BH197" i="1" s="1"/>
  <c r="BI197" i="1" s="1"/>
  <c r="BG201" i="1"/>
  <c r="BH201" i="1" s="1"/>
  <c r="BI201" i="1" s="1"/>
  <c r="AY6" i="1"/>
  <c r="AR6" i="1"/>
  <c r="AT6" i="1" s="1"/>
  <c r="AU6" i="1" s="1"/>
  <c r="BJ17" i="1"/>
  <c r="BI17" i="1"/>
  <c r="AR299" i="1"/>
  <c r="AT299" i="1" s="1"/>
  <c r="AU299" i="1" s="1"/>
  <c r="BG297" i="1"/>
  <c r="BH297" i="1" s="1"/>
  <c r="BI297" i="1" s="1"/>
  <c r="BG267" i="1"/>
  <c r="BH267" i="1" s="1"/>
  <c r="BI267" i="1" s="1"/>
  <c r="AY251" i="1"/>
  <c r="AH272" i="1"/>
  <c r="BG244" i="1"/>
  <c r="BH244" i="1" s="1"/>
  <c r="BJ244" i="1" s="1"/>
  <c r="BG237" i="1"/>
  <c r="BH237" i="1" s="1"/>
  <c r="BJ237" i="1" s="1"/>
  <c r="AY118" i="1"/>
  <c r="AH118" i="1"/>
  <c r="AY127" i="1"/>
  <c r="AH98" i="1"/>
  <c r="BG105" i="1"/>
  <c r="BH105" i="1" s="1"/>
  <c r="BJ105" i="1" s="1"/>
  <c r="BG230" i="1"/>
  <c r="BH230" i="1" s="1"/>
  <c r="BJ230" i="1" s="1"/>
  <c r="BG296" i="1"/>
  <c r="BH296" i="1" s="1"/>
  <c r="BI296" i="1" s="1"/>
  <c r="AH274" i="1"/>
  <c r="AY24" i="1"/>
  <c r="BG77" i="1"/>
  <c r="BH77" i="1" s="1"/>
  <c r="BJ77" i="1" s="1"/>
  <c r="BG199" i="1"/>
  <c r="BH199" i="1" s="1"/>
  <c r="BI199" i="1" s="1"/>
  <c r="BG74" i="1"/>
  <c r="BH74" i="1" s="1"/>
  <c r="BI74" i="1" s="1"/>
  <c r="AR290" i="1"/>
  <c r="AT290" i="1" s="1"/>
  <c r="AU290" i="1" s="1"/>
  <c r="AY144" i="1"/>
  <c r="BG94" i="1"/>
  <c r="BH94" i="1" s="1"/>
  <c r="BJ94" i="1" s="1"/>
  <c r="AR66" i="1"/>
  <c r="AT66" i="1" s="1"/>
  <c r="AU66" i="1" s="1"/>
  <c r="BG98" i="1"/>
  <c r="BH98" i="1" s="1"/>
  <c r="BJ98" i="1" s="1"/>
  <c r="BG283" i="1"/>
  <c r="BH283" i="1" s="1"/>
  <c r="BJ283" i="1" s="1"/>
  <c r="AH303" i="1"/>
  <c r="AK86" i="1"/>
  <c r="AK93" i="1"/>
  <c r="BG313" i="1"/>
  <c r="BH313" i="1" s="1"/>
  <c r="BI313" i="1" s="1"/>
  <c r="BG268" i="1"/>
  <c r="BH268" i="1" s="1"/>
  <c r="BI268" i="1" s="1"/>
  <c r="BG106" i="1"/>
  <c r="BH106" i="1" s="1"/>
  <c r="BI106" i="1" s="1"/>
  <c r="BG126" i="1"/>
  <c r="BH126" i="1" s="1"/>
  <c r="BI126" i="1" s="1"/>
  <c r="BG300" i="1"/>
  <c r="BH300" i="1" s="1"/>
  <c r="BI300" i="1" s="1"/>
  <c r="BG292" i="1"/>
  <c r="BH292" i="1" s="1"/>
  <c r="BI292" i="1" s="1"/>
  <c r="AH279" i="1"/>
  <c r="AH230" i="1"/>
  <c r="BG198" i="1"/>
  <c r="BH198" i="1" s="1"/>
  <c r="BI198" i="1" s="1"/>
  <c r="BG180" i="1"/>
  <c r="BH180" i="1" s="1"/>
  <c r="BJ180" i="1" s="1"/>
  <c r="AH82" i="1"/>
  <c r="BG328" i="1"/>
  <c r="BH328" i="1" s="1"/>
  <c r="BI328" i="1" s="1"/>
  <c r="BI26" i="1"/>
  <c r="BJ26" i="1"/>
  <c r="AR77" i="1"/>
  <c r="AT77" i="1" s="1"/>
  <c r="AU77" i="1" s="1"/>
  <c r="AH77" i="1"/>
  <c r="AK329" i="1"/>
  <c r="BG319" i="1"/>
  <c r="BH319" i="1" s="1"/>
  <c r="BI319" i="1" s="1"/>
  <c r="AR76" i="1"/>
  <c r="AT76" i="1" s="1"/>
  <c r="AU76" i="1" s="1"/>
  <c r="BG232" i="1"/>
  <c r="BH232" i="1" s="1"/>
  <c r="BI232" i="1" s="1"/>
  <c r="AK87" i="1"/>
  <c r="AK102" i="1"/>
  <c r="BG61" i="1"/>
  <c r="BH61" i="1" s="1"/>
  <c r="BI61" i="1" s="1"/>
  <c r="BJ5" i="1"/>
  <c r="BG114" i="1"/>
  <c r="BH114" i="1" s="1"/>
  <c r="BG202" i="1"/>
  <c r="BH202" i="1" s="1"/>
  <c r="BJ202" i="1" s="1"/>
  <c r="BG162" i="1"/>
  <c r="BH162" i="1" s="1"/>
  <c r="BI162" i="1" s="1"/>
  <c r="BG90" i="1"/>
  <c r="BH90" i="1" s="1"/>
  <c r="BJ90" i="1" s="1"/>
  <c r="AG193" i="1"/>
  <c r="AG181" i="1"/>
  <c r="AH181" i="1" s="1"/>
  <c r="AY181" i="1"/>
  <c r="BG190" i="1"/>
  <c r="BH190" i="1" s="1"/>
  <c r="AK158" i="1"/>
  <c r="AY158" i="1"/>
  <c r="AG283" i="1"/>
  <c r="AH283" i="1" s="1"/>
  <c r="AY283" i="1"/>
  <c r="AY136" i="1"/>
  <c r="AK76" i="1"/>
  <c r="AG278" i="1"/>
  <c r="AH278" i="1" s="1"/>
  <c r="BG120" i="1"/>
  <c r="BH120" i="1" s="1"/>
  <c r="BG178" i="1"/>
  <c r="BH178" i="1" s="1"/>
  <c r="BI178" i="1" s="1"/>
  <c r="AK155" i="1"/>
  <c r="AH155" i="1"/>
  <c r="BG24" i="1"/>
  <c r="BH24" i="1" s="1"/>
  <c r="BI24" i="1" s="1"/>
  <c r="AR310" i="1"/>
  <c r="AT310" i="1" s="1"/>
  <c r="AU310" i="1" s="1"/>
  <c r="AY138" i="1"/>
  <c r="AK80" i="1"/>
  <c r="AY128" i="1"/>
  <c r="BG212" i="1"/>
  <c r="BH212" i="1" s="1"/>
  <c r="BI212" i="1" s="1"/>
  <c r="BG293" i="1"/>
  <c r="BH293" i="1" s="1"/>
  <c r="BJ293" i="1" s="1"/>
  <c r="AY288" i="1"/>
  <c r="BG265" i="1"/>
  <c r="BH265" i="1" s="1"/>
  <c r="BI265" i="1" s="1"/>
  <c r="AR155" i="1"/>
  <c r="AT155" i="1" s="1"/>
  <c r="AU155" i="1" s="1"/>
  <c r="AY100" i="1"/>
  <c r="AY2" i="1"/>
  <c r="AY56" i="1"/>
  <c r="BG21" i="1"/>
  <c r="BH21" i="1" s="1"/>
  <c r="BI21" i="1" s="1"/>
  <c r="AY19" i="1"/>
  <c r="AY248" i="1"/>
  <c r="AY272" i="1"/>
  <c r="BG183" i="1"/>
  <c r="BH183" i="1" s="1"/>
  <c r="BI183" i="1" s="1"/>
  <c r="AY85" i="1"/>
  <c r="BG84" i="1"/>
  <c r="BH84" i="1" s="1"/>
  <c r="BJ84" i="1" s="1"/>
  <c r="BG67" i="1"/>
  <c r="BH67" i="1" s="1"/>
  <c r="BI67" i="1" s="1"/>
  <c r="BG263" i="1"/>
  <c r="BH263" i="1" s="1"/>
  <c r="BJ263" i="1" s="1"/>
  <c r="AY4" i="1"/>
  <c r="AY117" i="1"/>
  <c r="BG118" i="1"/>
  <c r="BH118" i="1" s="1"/>
  <c r="BJ118" i="1" s="1"/>
  <c r="AY65" i="1"/>
  <c r="AK77" i="1"/>
  <c r="BG303" i="1"/>
  <c r="BH303" i="1" s="1"/>
  <c r="BJ303" i="1" s="1"/>
  <c r="BG301" i="1"/>
  <c r="BH301" i="1" s="1"/>
  <c r="BJ301" i="1" s="1"/>
  <c r="BG287" i="1"/>
  <c r="BH287" i="1" s="1"/>
  <c r="BJ287" i="1" s="1"/>
  <c r="BG279" i="1"/>
  <c r="BH279" i="1" s="1"/>
  <c r="BJ279" i="1" s="1"/>
  <c r="BG273" i="1"/>
  <c r="BH273" i="1" s="1"/>
  <c r="BJ273" i="1" s="1"/>
  <c r="BG266" i="1"/>
  <c r="BH266" i="1" s="1"/>
  <c r="BJ266" i="1" s="1"/>
  <c r="AK232" i="1"/>
  <c r="AH257" i="1"/>
  <c r="AR225" i="1"/>
  <c r="AT225" i="1" s="1"/>
  <c r="AU225" i="1" s="1"/>
  <c r="AR204" i="1"/>
  <c r="AT204" i="1" s="1"/>
  <c r="AU204" i="1" s="1"/>
  <c r="AR240" i="1"/>
  <c r="AT240" i="1" s="1"/>
  <c r="AU240" i="1" s="1"/>
  <c r="AR239" i="1"/>
  <c r="AT239" i="1" s="1"/>
  <c r="AU239" i="1" s="1"/>
  <c r="AR160" i="1"/>
  <c r="AT160" i="1" s="1"/>
  <c r="AU160" i="1" s="1"/>
  <c r="AY25" i="1"/>
  <c r="AY111" i="1"/>
  <c r="AY164" i="1"/>
  <c r="BG275" i="1"/>
  <c r="BH275" i="1" s="1"/>
  <c r="AR236" i="1"/>
  <c r="AT236" i="1" s="1"/>
  <c r="AU236" i="1" s="1"/>
  <c r="AK118" i="1"/>
  <c r="AR88" i="1"/>
  <c r="AT88" i="1" s="1"/>
  <c r="AU88" i="1" s="1"/>
  <c r="BG200" i="1"/>
  <c r="BH200" i="1" s="1"/>
  <c r="AK319" i="1"/>
  <c r="AY319" i="1"/>
  <c r="AK61" i="1"/>
  <c r="AH61" i="1"/>
  <c r="AK316" i="1"/>
  <c r="AY316" i="1"/>
  <c r="AR135" i="1"/>
  <c r="AT135" i="1" s="1"/>
  <c r="AU135" i="1" s="1"/>
  <c r="BG75" i="1"/>
  <c r="BH75" i="1" s="1"/>
  <c r="BJ75" i="1" s="1"/>
  <c r="AY107" i="1"/>
  <c r="BG187" i="1"/>
  <c r="BH187" i="1" s="1"/>
  <c r="BJ187" i="1" s="1"/>
  <c r="AH266" i="1"/>
  <c r="BG192" i="1"/>
  <c r="BH192" i="1" s="1"/>
  <c r="BI192" i="1" s="1"/>
  <c r="AK119" i="1"/>
  <c r="AY60" i="1"/>
  <c r="AY26" i="1"/>
  <c r="AH16" i="1"/>
  <c r="AK90" i="1"/>
  <c r="BG99" i="1"/>
  <c r="BH99" i="1" s="1"/>
  <c r="BJ99" i="1" s="1"/>
  <c r="AK21" i="1"/>
  <c r="AK98" i="1"/>
  <c r="AY116" i="1"/>
  <c r="AY22" i="1"/>
  <c r="BG315" i="1"/>
  <c r="BH315" i="1" s="1"/>
  <c r="BJ315" i="1" s="1"/>
  <c r="AR319" i="1"/>
  <c r="AT319" i="1" s="1"/>
  <c r="AU319" i="1" s="1"/>
  <c r="AR277" i="1"/>
  <c r="AT277" i="1" s="1"/>
  <c r="AU277" i="1" s="1"/>
  <c r="AY184" i="1"/>
  <c r="BG124" i="1"/>
  <c r="BH124" i="1" s="1"/>
  <c r="BJ124" i="1" s="1"/>
  <c r="BG262" i="1"/>
  <c r="BH262" i="1" s="1"/>
  <c r="BJ262" i="1" s="1"/>
  <c r="AR91" i="1"/>
  <c r="AT91" i="1" s="1"/>
  <c r="AU91" i="1" s="1"/>
  <c r="AY250" i="1"/>
  <c r="AY147" i="1"/>
  <c r="AY274" i="1"/>
  <c r="AR52" i="1"/>
  <c r="AT52" i="1" s="1"/>
  <c r="AU52" i="1" s="1"/>
  <c r="AR61" i="1"/>
  <c r="AT61" i="1" s="1"/>
  <c r="AU61" i="1" s="1"/>
  <c r="AH158" i="1"/>
  <c r="AK126" i="1"/>
  <c r="AY88" i="1"/>
  <c r="AH90" i="1"/>
  <c r="AY77" i="1"/>
  <c r="BG19" i="1"/>
  <c r="BH19" i="1" s="1"/>
  <c r="BI19" i="1" s="1"/>
  <c r="AY110" i="1"/>
  <c r="AH70" i="1"/>
  <c r="AY135" i="1"/>
  <c r="AY148" i="1"/>
  <c r="AY323" i="1"/>
  <c r="AY129" i="1"/>
  <c r="AK274" i="1"/>
  <c r="BG291" i="1"/>
  <c r="BH291" i="1" s="1"/>
  <c r="BJ291" i="1" s="1"/>
  <c r="AG64" i="1"/>
  <c r="AK64" i="1" s="1"/>
  <c r="AY64" i="1"/>
  <c r="AR89" i="1"/>
  <c r="AT89" i="1" s="1"/>
  <c r="AU89" i="1" s="1"/>
  <c r="AY89" i="1"/>
  <c r="AG170" i="1"/>
  <c r="AR170" i="1" s="1"/>
  <c r="AT170" i="1" s="1"/>
  <c r="AU170" i="1" s="1"/>
  <c r="AY170" i="1"/>
  <c r="AR99" i="1"/>
  <c r="AT99" i="1" s="1"/>
  <c r="AU99" i="1" s="1"/>
  <c r="AK99" i="1"/>
  <c r="AH99" i="1"/>
  <c r="AH86" i="1"/>
  <c r="AY86" i="1"/>
  <c r="AR86" i="1"/>
  <c r="AT86" i="1" s="1"/>
  <c r="AU86" i="1" s="1"/>
  <c r="BG239" i="1"/>
  <c r="BH239" i="1" s="1"/>
  <c r="BI239" i="1" s="1"/>
  <c r="AG243" i="1"/>
  <c r="AR243" i="1" s="1"/>
  <c r="AT243" i="1" s="1"/>
  <c r="AU243" i="1" s="1"/>
  <c r="AY243" i="1"/>
  <c r="AK6" i="1"/>
  <c r="AH6" i="1"/>
  <c r="AG242" i="1"/>
  <c r="AK242" i="1" s="1"/>
  <c r="AY242" i="1"/>
  <c r="AR329" i="1"/>
  <c r="AT329" i="1" s="1"/>
  <c r="AU329" i="1" s="1"/>
  <c r="AH329" i="1"/>
  <c r="AR257" i="1"/>
  <c r="AT257" i="1" s="1"/>
  <c r="AU257" i="1" s="1"/>
  <c r="AH244" i="1"/>
  <c r="AR244" i="1"/>
  <c r="AT244" i="1" s="1"/>
  <c r="AU244" i="1" s="1"/>
  <c r="AY330" i="1"/>
  <c r="AH319" i="1"/>
  <c r="AK330" i="1"/>
  <c r="AY287" i="1"/>
  <c r="AR184" i="1"/>
  <c r="AT184" i="1" s="1"/>
  <c r="AU184" i="1" s="1"/>
  <c r="AY97" i="1"/>
  <c r="AR97" i="1"/>
  <c r="AT97" i="1" s="1"/>
  <c r="AU97" i="1" s="1"/>
  <c r="AK290" i="1"/>
  <c r="AH290" i="1"/>
  <c r="AY230" i="1"/>
  <c r="AK230" i="1"/>
  <c r="AR190" i="1"/>
  <c r="AT190" i="1" s="1"/>
  <c r="AU190" i="1" s="1"/>
  <c r="AK190" i="1"/>
  <c r="AH190" i="1"/>
  <c r="AY190" i="1"/>
  <c r="BJ56" i="1"/>
  <c r="BI56" i="1"/>
  <c r="BJ13" i="1"/>
  <c r="BI13" i="1"/>
  <c r="AY12" i="1"/>
  <c r="AR8" i="1"/>
  <c r="AT8" i="1" s="1"/>
  <c r="AU8" i="1" s="1"/>
  <c r="AY8" i="1"/>
  <c r="AK8" i="1"/>
  <c r="AH8" i="1"/>
  <c r="AG301" i="1"/>
  <c r="AR301" i="1" s="1"/>
  <c r="AT301" i="1" s="1"/>
  <c r="AU301" i="1" s="1"/>
  <c r="AY301" i="1"/>
  <c r="AK265" i="1"/>
  <c r="AH258" i="1"/>
  <c r="AR246" i="1"/>
  <c r="AT246" i="1" s="1"/>
  <c r="AU246" i="1" s="1"/>
  <c r="AR195" i="1"/>
  <c r="AT195" i="1" s="1"/>
  <c r="AU195" i="1" s="1"/>
  <c r="BJ2" i="1"/>
  <c r="BI2" i="1"/>
  <c r="AH199" i="1"/>
  <c r="AG116" i="1"/>
  <c r="BG288" i="1"/>
  <c r="BH288" i="1" s="1"/>
  <c r="BI288" i="1" s="1"/>
  <c r="BG258" i="1"/>
  <c r="BH258" i="1" s="1"/>
  <c r="BI258" i="1" s="1"/>
  <c r="AH139" i="1"/>
  <c r="AY96" i="1"/>
  <c r="AH94" i="1"/>
  <c r="BG65" i="1"/>
  <c r="BH65" i="1" s="1"/>
  <c r="BJ65" i="1" s="1"/>
  <c r="AK91" i="1"/>
  <c r="BG100" i="1"/>
  <c r="BH100" i="1" s="1"/>
  <c r="BI100" i="1" s="1"/>
  <c r="AH91" i="1"/>
  <c r="AK52" i="1"/>
  <c r="AK16" i="1"/>
  <c r="BI25" i="1"/>
  <c r="AY225" i="1"/>
  <c r="AK104" i="1"/>
  <c r="AY155" i="1"/>
  <c r="AY61" i="1"/>
  <c r="AR16" i="1"/>
  <c r="AT16" i="1" s="1"/>
  <c r="AU16" i="1" s="1"/>
  <c r="AY21" i="1"/>
  <c r="AY90" i="1"/>
  <c r="AG12" i="1"/>
  <c r="AK12" i="1" s="1"/>
  <c r="AY240" i="1"/>
  <c r="BG103" i="1"/>
  <c r="BH103" i="1" s="1"/>
  <c r="BJ103" i="1" s="1"/>
  <c r="AY328" i="1"/>
  <c r="AH52" i="1"/>
  <c r="AK88" i="1"/>
  <c r="AY16" i="1"/>
  <c r="AR110" i="1"/>
  <c r="AT110" i="1" s="1"/>
  <c r="AU110" i="1" s="1"/>
  <c r="AR127" i="1"/>
  <c r="AT127" i="1" s="1"/>
  <c r="AU127" i="1" s="1"/>
  <c r="AH126" i="1"/>
  <c r="AH316" i="1"/>
  <c r="AY105" i="1"/>
  <c r="AR178" i="1"/>
  <c r="AT178" i="1" s="1"/>
  <c r="AU178" i="1" s="1"/>
  <c r="AK82" i="1"/>
  <c r="AR126" i="1"/>
  <c r="AT126" i="1" s="1"/>
  <c r="AU126" i="1" s="1"/>
  <c r="BG113" i="1"/>
  <c r="BH113" i="1" s="1"/>
  <c r="AR269" i="1"/>
  <c r="AT269" i="1" s="1"/>
  <c r="AU269" i="1" s="1"/>
  <c r="BG247" i="1"/>
  <c r="BH247" i="1" s="1"/>
  <c r="BJ247" i="1" s="1"/>
  <c r="AR241" i="1"/>
  <c r="AT241" i="1" s="1"/>
  <c r="AU241" i="1" s="1"/>
  <c r="AK266" i="1"/>
  <c r="AH222" i="1"/>
  <c r="AR192" i="1"/>
  <c r="AT192" i="1" s="1"/>
  <c r="AU192" i="1" s="1"/>
  <c r="AR208" i="1"/>
  <c r="AT208" i="1" s="1"/>
  <c r="AU208" i="1" s="1"/>
  <c r="AR183" i="1"/>
  <c r="AT183" i="1" s="1"/>
  <c r="AU183" i="1" s="1"/>
  <c r="AR177" i="1"/>
  <c r="AT177" i="1" s="1"/>
  <c r="AU177" i="1" s="1"/>
  <c r="AR106" i="1"/>
  <c r="AT106" i="1" s="1"/>
  <c r="AU106" i="1" s="1"/>
  <c r="AY82" i="1"/>
  <c r="AY3" i="1"/>
  <c r="AY15" i="1"/>
  <c r="AY98" i="1"/>
  <c r="AY292" i="1"/>
  <c r="AR230" i="1"/>
  <c r="AT230" i="1" s="1"/>
  <c r="AU230" i="1" s="1"/>
  <c r="BG185" i="1"/>
  <c r="BH185" i="1" s="1"/>
  <c r="BG177" i="1"/>
  <c r="BH177" i="1" s="1"/>
  <c r="AR82" i="1"/>
  <c r="AT82" i="1" s="1"/>
  <c r="AU82" i="1" s="1"/>
  <c r="AR113" i="1"/>
  <c r="AT113" i="1" s="1"/>
  <c r="AU113" i="1" s="1"/>
  <c r="AK326" i="1"/>
  <c r="AR326" i="1"/>
  <c r="AT326" i="1" s="1"/>
  <c r="AU326" i="1" s="1"/>
  <c r="AH326" i="1"/>
  <c r="AK210" i="1"/>
  <c r="AH210" i="1"/>
  <c r="AR210" i="1"/>
  <c r="AT210" i="1" s="1"/>
  <c r="AU210" i="1" s="1"/>
  <c r="AY210" i="1"/>
  <c r="AR200" i="1"/>
  <c r="AT200" i="1" s="1"/>
  <c r="AU200" i="1" s="1"/>
  <c r="AK200" i="1"/>
  <c r="AY200" i="1"/>
  <c r="AH200" i="1"/>
  <c r="AR85" i="1"/>
  <c r="AT85" i="1" s="1"/>
  <c r="AU85" i="1" s="1"/>
  <c r="AK85" i="1"/>
  <c r="AR59" i="1"/>
  <c r="AT59" i="1" s="1"/>
  <c r="AU59" i="1" s="1"/>
  <c r="AY59" i="1"/>
  <c r="AK59" i="1"/>
  <c r="AH23" i="1"/>
  <c r="AY23" i="1"/>
  <c r="AR23" i="1"/>
  <c r="AT23" i="1" s="1"/>
  <c r="AU23" i="1" s="1"/>
  <c r="AK23" i="1"/>
  <c r="BI55" i="1"/>
  <c r="BJ55" i="1"/>
  <c r="AK321" i="1"/>
  <c r="AH321" i="1"/>
  <c r="AR321" i="1"/>
  <c r="AT321" i="1" s="1"/>
  <c r="AU321" i="1" s="1"/>
  <c r="AK203" i="1"/>
  <c r="AH203" i="1"/>
  <c r="AR203" i="1"/>
  <c r="AT203" i="1" s="1"/>
  <c r="AU203" i="1" s="1"/>
  <c r="AY203" i="1"/>
  <c r="AK72" i="1"/>
  <c r="AR72" i="1"/>
  <c r="AT72" i="1" s="1"/>
  <c r="AU72" i="1" s="1"/>
  <c r="AY72" i="1"/>
  <c r="AK145" i="1"/>
  <c r="AH145" i="1"/>
  <c r="AR145" i="1"/>
  <c r="AT145" i="1" s="1"/>
  <c r="AU145" i="1" s="1"/>
  <c r="AH63" i="1"/>
  <c r="AK63" i="1"/>
  <c r="AR63" i="1"/>
  <c r="AT63" i="1" s="1"/>
  <c r="AU63" i="1" s="1"/>
  <c r="AH113" i="1"/>
  <c r="AY113" i="1"/>
  <c r="AK113" i="1"/>
  <c r="AK318" i="1"/>
  <c r="AY318" i="1"/>
  <c r="AY297" i="1"/>
  <c r="AH297" i="1"/>
  <c r="AK297" i="1"/>
  <c r="AR297" i="1"/>
  <c r="AT297" i="1" s="1"/>
  <c r="AU297" i="1" s="1"/>
  <c r="BJ143" i="1"/>
  <c r="BI143" i="1"/>
  <c r="BI248" i="1"/>
  <c r="BJ248" i="1"/>
  <c r="AH178" i="1"/>
  <c r="AY178" i="1"/>
  <c r="AK178" i="1"/>
  <c r="AY120" i="1"/>
  <c r="AR120" i="1"/>
  <c r="AT120" i="1" s="1"/>
  <c r="AU120" i="1" s="1"/>
  <c r="AH120" i="1"/>
  <c r="AK120" i="1"/>
  <c r="AR115" i="1"/>
  <c r="AT115" i="1" s="1"/>
  <c r="AU115" i="1" s="1"/>
  <c r="AH115" i="1"/>
  <c r="AY115" i="1"/>
  <c r="AH311" i="1"/>
  <c r="AK311" i="1"/>
  <c r="AR311" i="1"/>
  <c r="AT311" i="1" s="1"/>
  <c r="AU311" i="1" s="1"/>
  <c r="AY137" i="1"/>
  <c r="AH137" i="1"/>
  <c r="AH95" i="1"/>
  <c r="AK95" i="1"/>
  <c r="AR95" i="1"/>
  <c r="AT95" i="1" s="1"/>
  <c r="AU95" i="1" s="1"/>
  <c r="AK7" i="1"/>
  <c r="AR7" i="1"/>
  <c r="AT7" i="1" s="1"/>
  <c r="AU7" i="1" s="1"/>
  <c r="AH7" i="1"/>
  <c r="AY7" i="1"/>
  <c r="AK18" i="1"/>
  <c r="AR18" i="1"/>
  <c r="AT18" i="1" s="1"/>
  <c r="AU18" i="1" s="1"/>
  <c r="AH18" i="1"/>
  <c r="AH122" i="1"/>
  <c r="AY122" i="1"/>
  <c r="AR122" i="1"/>
  <c r="AT122" i="1" s="1"/>
  <c r="AU122" i="1" s="1"/>
  <c r="AK122" i="1"/>
  <c r="AR138" i="1"/>
  <c r="AT138" i="1" s="1"/>
  <c r="AU138" i="1" s="1"/>
  <c r="AK70" i="1"/>
  <c r="AR107" i="1"/>
  <c r="AT107" i="1" s="1"/>
  <c r="AU107" i="1" s="1"/>
  <c r="AR298" i="1"/>
  <c r="AT298" i="1" s="1"/>
  <c r="AU298" i="1" s="1"/>
  <c r="AY294" i="1"/>
  <c r="AR287" i="1"/>
  <c r="AT287" i="1" s="1"/>
  <c r="AU287" i="1" s="1"/>
  <c r="AR302" i="1"/>
  <c r="AT302" i="1" s="1"/>
  <c r="AU302" i="1" s="1"/>
  <c r="AY295" i="1"/>
  <c r="AY269" i="1"/>
  <c r="AR258" i="1"/>
  <c r="AT258" i="1" s="1"/>
  <c r="AU258" i="1" s="1"/>
  <c r="AR251" i="1"/>
  <c r="AT251" i="1" s="1"/>
  <c r="AU251" i="1" s="1"/>
  <c r="BG250" i="1"/>
  <c r="BH250" i="1" s="1"/>
  <c r="BI250" i="1" s="1"/>
  <c r="BG222" i="1"/>
  <c r="BH222" i="1" s="1"/>
  <c r="BI222" i="1" s="1"/>
  <c r="AR142" i="1"/>
  <c r="AT142" i="1" s="1"/>
  <c r="AU142" i="1" s="1"/>
  <c r="AK246" i="1"/>
  <c r="AY160" i="1"/>
  <c r="AY205" i="1"/>
  <c r="AR265" i="1"/>
  <c r="AT265" i="1" s="1"/>
  <c r="AU265" i="1" s="1"/>
  <c r="BG182" i="1"/>
  <c r="BH182" i="1" s="1"/>
  <c r="BJ182" i="1" s="1"/>
  <c r="AY194" i="1"/>
  <c r="AR157" i="1"/>
  <c r="AT157" i="1" s="1"/>
  <c r="AU157" i="1" s="1"/>
  <c r="AY131" i="1"/>
  <c r="BG78" i="1"/>
  <c r="BH78" i="1" s="1"/>
  <c r="BJ78" i="1" s="1"/>
  <c r="AH65" i="1"/>
  <c r="AY51" i="1"/>
  <c r="AY91" i="1"/>
  <c r="AY17" i="1"/>
  <c r="AY302" i="1"/>
  <c r="AH248" i="1"/>
  <c r="AK248" i="1"/>
  <c r="AR316" i="1"/>
  <c r="AT316" i="1" s="1"/>
  <c r="AU316" i="1" s="1"/>
  <c r="BG63" i="1"/>
  <c r="BH63" i="1" s="1"/>
  <c r="AR21" i="1"/>
  <c r="AT21" i="1" s="1"/>
  <c r="AU21" i="1" s="1"/>
  <c r="AY63" i="1"/>
  <c r="AR280" i="1"/>
  <c r="AT280" i="1" s="1"/>
  <c r="AU280" i="1" s="1"/>
  <c r="AY311" i="1"/>
  <c r="BG299" i="1"/>
  <c r="BH299" i="1" s="1"/>
  <c r="BJ299" i="1" s="1"/>
  <c r="AY312" i="1"/>
  <c r="AY308" i="1"/>
  <c r="AH246" i="1"/>
  <c r="AH124" i="1"/>
  <c r="AR92" i="1"/>
  <c r="AT92" i="1" s="1"/>
  <c r="AU92" i="1" s="1"/>
  <c r="AR67" i="1"/>
  <c r="AT67" i="1" s="1"/>
  <c r="AU67" i="1" s="1"/>
  <c r="AH104" i="1"/>
  <c r="BG318" i="1"/>
  <c r="BH318" i="1" s="1"/>
  <c r="BG246" i="1"/>
  <c r="BH246" i="1" s="1"/>
  <c r="BG145" i="1"/>
  <c r="BH145" i="1" s="1"/>
  <c r="AH85" i="1"/>
  <c r="AG22" i="1"/>
  <c r="AR22" i="1" s="1"/>
  <c r="AT22" i="1" s="1"/>
  <c r="AU22" i="1" s="1"/>
  <c r="BG280" i="1"/>
  <c r="BH280" i="1" s="1"/>
  <c r="BJ280" i="1" s="1"/>
  <c r="BG277" i="1"/>
  <c r="BH277" i="1" s="1"/>
  <c r="BJ277" i="1" s="1"/>
  <c r="AH249" i="1"/>
  <c r="AG288" i="1"/>
  <c r="AH288" i="1" s="1"/>
  <c r="AY305" i="1"/>
  <c r="BG264" i="1"/>
  <c r="BH264" i="1" s="1"/>
  <c r="BJ264" i="1" s="1"/>
  <c r="AY209" i="1"/>
  <c r="AH265" i="1"/>
  <c r="BG223" i="1"/>
  <c r="BH223" i="1" s="1"/>
  <c r="BI223" i="1" s="1"/>
  <c r="AY192" i="1"/>
  <c r="AR266" i="1"/>
  <c r="AT266" i="1" s="1"/>
  <c r="AU266" i="1" s="1"/>
  <c r="AY121" i="1"/>
  <c r="AK137" i="1"/>
  <c r="AY83" i="1"/>
  <c r="AY78" i="1"/>
  <c r="AH59" i="1"/>
  <c r="AY80" i="1"/>
  <c r="AH114" i="1"/>
  <c r="AK114" i="1"/>
  <c r="AY244" i="1"/>
  <c r="AY246" i="1"/>
  <c r="BG115" i="1"/>
  <c r="BH115" i="1" s="1"/>
  <c r="AH72" i="1"/>
  <c r="AG105" i="1"/>
  <c r="AY145" i="1"/>
  <c r="BG22" i="1"/>
  <c r="BH22" i="1" s="1"/>
  <c r="BJ22" i="1" s="1"/>
  <c r="AH138" i="1"/>
  <c r="BG148" i="1"/>
  <c r="BH148" i="1" s="1"/>
  <c r="BI148" i="1" s="1"/>
  <c r="AY73" i="1"/>
  <c r="AR318" i="1"/>
  <c r="AT318" i="1" s="1"/>
  <c r="AU318" i="1" s="1"/>
  <c r="AR128" i="1"/>
  <c r="AT128" i="1" s="1"/>
  <c r="AU128" i="1" s="1"/>
  <c r="BD308" i="1"/>
  <c r="BG308" i="1" s="1"/>
  <c r="BH308" i="1" s="1"/>
  <c r="AR307" i="1"/>
  <c r="AT307" i="1" s="1"/>
  <c r="AU307" i="1" s="1"/>
  <c r="BG295" i="1"/>
  <c r="BH295" i="1" s="1"/>
  <c r="BJ295" i="1" s="1"/>
  <c r="AR312" i="1"/>
  <c r="AT312" i="1" s="1"/>
  <c r="AU312" i="1" s="1"/>
  <c r="AR308" i="1"/>
  <c r="AT308" i="1" s="1"/>
  <c r="AU308" i="1" s="1"/>
  <c r="AY303" i="1"/>
  <c r="AR284" i="1"/>
  <c r="AT284" i="1" s="1"/>
  <c r="AU284" i="1" s="1"/>
  <c r="AK276" i="1"/>
  <c r="BG269" i="1"/>
  <c r="BH269" i="1" s="1"/>
  <c r="BJ269" i="1" s="1"/>
  <c r="AY247" i="1"/>
  <c r="AR202" i="1"/>
  <c r="AT202" i="1" s="1"/>
  <c r="AU202" i="1" s="1"/>
  <c r="BG209" i="1"/>
  <c r="BH209" i="1" s="1"/>
  <c r="BJ209" i="1" s="1"/>
  <c r="AG209" i="1"/>
  <c r="AH209" i="1" s="1"/>
  <c r="BG194" i="1"/>
  <c r="BH194" i="1" s="1"/>
  <c r="BJ194" i="1" s="1"/>
  <c r="AY182" i="1"/>
  <c r="AR158" i="1"/>
  <c r="AT158" i="1" s="1"/>
  <c r="AU158" i="1" s="1"/>
  <c r="AY112" i="1"/>
  <c r="BG96" i="1"/>
  <c r="BH96" i="1" s="1"/>
  <c r="BJ96" i="1" s="1"/>
  <c r="AY104" i="1"/>
  <c r="AY27" i="1"/>
  <c r="AY20" i="1"/>
  <c r="AY58" i="1"/>
  <c r="AY13" i="1"/>
  <c r="AK244" i="1"/>
  <c r="AK115" i="1"/>
  <c r="AR248" i="1"/>
  <c r="AT248" i="1" s="1"/>
  <c r="AU248" i="1" s="1"/>
  <c r="AR114" i="1"/>
  <c r="AT114" i="1" s="1"/>
  <c r="AU114" i="1" s="1"/>
  <c r="BJ18" i="1"/>
  <c r="BI18" i="1"/>
  <c r="BI6" i="1"/>
  <c r="BJ6" i="1"/>
  <c r="AK187" i="1"/>
  <c r="AH187" i="1"/>
  <c r="AY187" i="1"/>
  <c r="AR187" i="1"/>
  <c r="AT187" i="1" s="1"/>
  <c r="AU187" i="1" s="1"/>
  <c r="BJ68" i="1"/>
  <c r="AY314" i="1"/>
  <c r="AH327" i="1"/>
  <c r="AK327" i="1"/>
  <c r="AY327" i="1"/>
  <c r="AR327" i="1"/>
  <c r="AT327" i="1" s="1"/>
  <c r="AU327" i="1" s="1"/>
  <c r="AR293" i="1"/>
  <c r="AT293" i="1" s="1"/>
  <c r="AU293" i="1" s="1"/>
  <c r="AK268" i="1"/>
  <c r="AR268" i="1"/>
  <c r="AT268" i="1" s="1"/>
  <c r="AU268" i="1" s="1"/>
  <c r="AH268" i="1"/>
  <c r="AR83" i="1"/>
  <c r="AT83" i="1" s="1"/>
  <c r="AU83" i="1" s="1"/>
  <c r="AY263" i="1"/>
  <c r="AR263" i="1"/>
  <c r="AT263" i="1" s="1"/>
  <c r="AU263" i="1" s="1"/>
  <c r="AY14" i="1"/>
  <c r="AY57" i="1"/>
  <c r="AY55" i="1"/>
  <c r="AH75" i="1"/>
  <c r="AK75" i="1"/>
  <c r="AR75" i="1"/>
  <c r="AT75" i="1" s="1"/>
  <c r="AU75" i="1" s="1"/>
  <c r="AY75" i="1"/>
  <c r="AY315" i="1"/>
  <c r="AK54" i="1"/>
  <c r="AH54" i="1"/>
  <c r="AR54" i="1"/>
  <c r="AT54" i="1" s="1"/>
  <c r="AU54" i="1" s="1"/>
  <c r="BI314" i="1"/>
  <c r="BJ314" i="1"/>
  <c r="AY331" i="1"/>
  <c r="AR275" i="1"/>
  <c r="AT275" i="1" s="1"/>
  <c r="AU275" i="1" s="1"/>
  <c r="AH275" i="1"/>
  <c r="AK275" i="1"/>
  <c r="BJ331" i="1"/>
  <c r="BI331" i="1"/>
  <c r="BJ241" i="1"/>
  <c r="BI241" i="1"/>
  <c r="BI155" i="1"/>
  <c r="BJ155" i="1"/>
  <c r="BJ119" i="1"/>
  <c r="BI119" i="1"/>
  <c r="AR101" i="1"/>
  <c r="AT101" i="1" s="1"/>
  <c r="AU101" i="1" s="1"/>
  <c r="AY101" i="1"/>
  <c r="AY285" i="1"/>
  <c r="AR285" i="1"/>
  <c r="AT285" i="1" s="1"/>
  <c r="AU285" i="1" s="1"/>
  <c r="BJ12" i="1"/>
  <c r="BI12" i="1"/>
  <c r="AK331" i="1"/>
  <c r="AH331" i="1"/>
  <c r="AR331" i="1"/>
  <c r="AT331" i="1" s="1"/>
  <c r="AU331" i="1" s="1"/>
  <c r="BI125" i="1"/>
  <c r="AR5" i="1"/>
  <c r="AT5" i="1" s="1"/>
  <c r="AU5" i="1" s="1"/>
  <c r="BI8" i="1"/>
  <c r="BJ8" i="1"/>
  <c r="BJ116" i="1"/>
  <c r="BI116" i="1"/>
  <c r="AG309" i="1"/>
  <c r="AR309" i="1" s="1"/>
  <c r="AT309" i="1" s="1"/>
  <c r="AU309" i="1" s="1"/>
  <c r="AY309" i="1"/>
  <c r="AK322" i="1"/>
  <c r="AH322" i="1"/>
  <c r="AR322" i="1"/>
  <c r="AT322" i="1" s="1"/>
  <c r="AU322" i="1" s="1"/>
  <c r="AY273" i="1"/>
  <c r="AG273" i="1"/>
  <c r="AH306" i="1"/>
  <c r="AK306" i="1"/>
  <c r="AK296" i="1"/>
  <c r="AH296" i="1"/>
  <c r="AG294" i="1"/>
  <c r="AR294" i="1" s="1"/>
  <c r="AT294" i="1" s="1"/>
  <c r="AU294" i="1" s="1"/>
  <c r="AK284" i="1"/>
  <c r="AH284" i="1"/>
  <c r="AG256" i="1"/>
  <c r="AR256" i="1" s="1"/>
  <c r="AT256" i="1" s="1"/>
  <c r="AU256" i="1" s="1"/>
  <c r="AY256" i="1"/>
  <c r="AK310" i="1"/>
  <c r="AH310" i="1"/>
  <c r="AH264" i="1"/>
  <c r="AK264" i="1"/>
  <c r="AH270" i="1"/>
  <c r="AY270" i="1"/>
  <c r="AK270" i="1"/>
  <c r="AH262" i="1"/>
  <c r="AY262" i="1"/>
  <c r="AK262" i="1"/>
  <c r="AH245" i="1"/>
  <c r="AY245" i="1"/>
  <c r="AK245" i="1"/>
  <c r="AK207" i="1"/>
  <c r="AH207" i="1"/>
  <c r="AK186" i="1"/>
  <c r="AH186" i="1"/>
  <c r="AK162" i="1"/>
  <c r="AH162" i="1"/>
  <c r="AR303" i="1"/>
  <c r="AT303" i="1" s="1"/>
  <c r="AU303" i="1" s="1"/>
  <c r="AH291" i="1"/>
  <c r="AK291" i="1"/>
  <c r="AR249" i="1"/>
  <c r="AT249" i="1" s="1"/>
  <c r="AU249" i="1" s="1"/>
  <c r="AH237" i="1"/>
  <c r="AK237" i="1"/>
  <c r="AY279" i="1"/>
  <c r="BJ245" i="1"/>
  <c r="BI245" i="1"/>
  <c r="AR245" i="1"/>
  <c r="AT245" i="1" s="1"/>
  <c r="AU245" i="1" s="1"/>
  <c r="AH299" i="1"/>
  <c r="AK238" i="1"/>
  <c r="AH238" i="1"/>
  <c r="AH223" i="1"/>
  <c r="AK223" i="1"/>
  <c r="AY238" i="1"/>
  <c r="AY207" i="1"/>
  <c r="AH191" i="1"/>
  <c r="AK191" i="1"/>
  <c r="AY191" i="1"/>
  <c r="AY186" i="1"/>
  <c r="AY223" i="1"/>
  <c r="AH147" i="1"/>
  <c r="AK147" i="1"/>
  <c r="AY156" i="1"/>
  <c r="AK124" i="1"/>
  <c r="AK199" i="1"/>
  <c r="AG112" i="1"/>
  <c r="AK112" i="1" s="1"/>
  <c r="AH285" i="1"/>
  <c r="AK285" i="1"/>
  <c r="AK94" i="1"/>
  <c r="AH235" i="1"/>
  <c r="AH119" i="1"/>
  <c r="AY62" i="1"/>
  <c r="AH157" i="1"/>
  <c r="AK131" i="1"/>
  <c r="AH131" i="1"/>
  <c r="AR131" i="1"/>
  <c r="AT131" i="1" s="1"/>
  <c r="AU131" i="1" s="1"/>
  <c r="AR235" i="1"/>
  <c r="AT235" i="1" s="1"/>
  <c r="AU235" i="1" s="1"/>
  <c r="AH60" i="1"/>
  <c r="AK60" i="1"/>
  <c r="AK139" i="1"/>
  <c r="AH106" i="1"/>
  <c r="AR87" i="1"/>
  <c r="AT87" i="1" s="1"/>
  <c r="AU87" i="1" s="1"/>
  <c r="AR119" i="1"/>
  <c r="AT119" i="1" s="1"/>
  <c r="AU119" i="1" s="1"/>
  <c r="AK65" i="1"/>
  <c r="AR94" i="1"/>
  <c r="AT94" i="1" s="1"/>
  <c r="AU94" i="1" s="1"/>
  <c r="AH89" i="1"/>
  <c r="AK89" i="1"/>
  <c r="AG17" i="1"/>
  <c r="AR17" i="1" s="1"/>
  <c r="AT17" i="1" s="1"/>
  <c r="AU17" i="1" s="1"/>
  <c r="AG25" i="1"/>
  <c r="AR25" i="1" s="1"/>
  <c r="AT25" i="1" s="1"/>
  <c r="AU25" i="1" s="1"/>
  <c r="AY5" i="1"/>
  <c r="AG27" i="1"/>
  <c r="AH27" i="1" s="1"/>
  <c r="BJ3" i="1"/>
  <c r="BI3" i="1"/>
  <c r="AG4" i="1"/>
  <c r="AH4" i="1" s="1"/>
  <c r="BJ57" i="1"/>
  <c r="BI57" i="1"/>
  <c r="AG58" i="1"/>
  <c r="AK58" i="1" s="1"/>
  <c r="BJ15" i="1"/>
  <c r="BI15" i="1"/>
  <c r="AH69" i="1"/>
  <c r="AK69" i="1"/>
  <c r="AK141" i="1"/>
  <c r="AH141" i="1"/>
  <c r="AK68" i="1"/>
  <c r="AH68" i="1"/>
  <c r="AR70" i="1"/>
  <c r="AT70" i="1" s="1"/>
  <c r="AU70" i="1" s="1"/>
  <c r="BI128" i="1"/>
  <c r="AH133" i="1"/>
  <c r="AK133" i="1"/>
  <c r="AG143" i="1"/>
  <c r="AR143" i="1" s="1"/>
  <c r="AT143" i="1" s="1"/>
  <c r="AU143" i="1" s="1"/>
  <c r="AY143" i="1"/>
  <c r="AK71" i="1"/>
  <c r="AH71" i="1"/>
  <c r="AH135" i="1"/>
  <c r="AK135" i="1"/>
  <c r="BJ253" i="1"/>
  <c r="BI253" i="1"/>
  <c r="AR141" i="1"/>
  <c r="AT141" i="1" s="1"/>
  <c r="AU141" i="1" s="1"/>
  <c r="AG73" i="1"/>
  <c r="AR73" i="1" s="1"/>
  <c r="AT73" i="1" s="1"/>
  <c r="AU73" i="1" s="1"/>
  <c r="BG73" i="1"/>
  <c r="BH73" i="1" s="1"/>
  <c r="AR71" i="1"/>
  <c r="AT71" i="1" s="1"/>
  <c r="AU71" i="1" s="1"/>
  <c r="BG317" i="1"/>
  <c r="BH317" i="1" s="1"/>
  <c r="AY280" i="1"/>
  <c r="BG10" i="1"/>
  <c r="BH10" i="1" s="1"/>
  <c r="AK320" i="1"/>
  <c r="AH320" i="1"/>
  <c r="AY320" i="1"/>
  <c r="AY54" i="1"/>
  <c r="AY10" i="1"/>
  <c r="AY132" i="1"/>
  <c r="AG315" i="1"/>
  <c r="AR315" i="1" s="1"/>
  <c r="AT315" i="1" s="1"/>
  <c r="AU315" i="1" s="1"/>
  <c r="BG323" i="1"/>
  <c r="BH323" i="1" s="1"/>
  <c r="AH107" i="1"/>
  <c r="AK107" i="1"/>
  <c r="AY299" i="1"/>
  <c r="AY134" i="1"/>
  <c r="AH302" i="1"/>
  <c r="AR296" i="1"/>
  <c r="AT296" i="1" s="1"/>
  <c r="AU296" i="1" s="1"/>
  <c r="AK292" i="1"/>
  <c r="AH292" i="1"/>
  <c r="AK286" i="1"/>
  <c r="AH286" i="1"/>
  <c r="AY271" i="1"/>
  <c r="AG271" i="1"/>
  <c r="AK312" i="1"/>
  <c r="AH312" i="1"/>
  <c r="AG129" i="1"/>
  <c r="AR129" i="1" s="1"/>
  <c r="AT129" i="1" s="1"/>
  <c r="AU129" i="1" s="1"/>
  <c r="BG129" i="1"/>
  <c r="BH129" i="1" s="1"/>
  <c r="AK134" i="1"/>
  <c r="AH134" i="1"/>
  <c r="AH305" i="1"/>
  <c r="AK305" i="1"/>
  <c r="AR305" i="1"/>
  <c r="AT305" i="1" s="1"/>
  <c r="AU305" i="1" s="1"/>
  <c r="BJ181" i="1"/>
  <c r="BI181" i="1"/>
  <c r="BG134" i="1"/>
  <c r="BH134" i="1" s="1"/>
  <c r="AK303" i="1"/>
  <c r="AH295" i="1"/>
  <c r="AK295" i="1"/>
  <c r="AH318" i="1"/>
  <c r="BG305" i="1"/>
  <c r="BH305" i="1" s="1"/>
  <c r="AR295" i="1"/>
  <c r="AT295" i="1" s="1"/>
  <c r="AU295" i="1" s="1"/>
  <c r="AY275" i="1"/>
  <c r="AR276" i="1"/>
  <c r="AT276" i="1" s="1"/>
  <c r="AU276" i="1" s="1"/>
  <c r="AK272" i="1"/>
  <c r="BG251" i="1"/>
  <c r="BH251" i="1" s="1"/>
  <c r="AR274" i="1"/>
  <c r="AT274" i="1" s="1"/>
  <c r="AU274" i="1" s="1"/>
  <c r="AH269" i="1"/>
  <c r="AK269" i="1"/>
  <c r="AY232" i="1"/>
  <c r="AY130" i="1"/>
  <c r="AH252" i="1"/>
  <c r="AY252" i="1"/>
  <c r="AK252" i="1"/>
  <c r="AK168" i="1"/>
  <c r="AH168" i="1"/>
  <c r="AK197" i="1"/>
  <c r="AH197" i="1"/>
  <c r="AK180" i="1"/>
  <c r="AH180" i="1"/>
  <c r="AR330" i="1"/>
  <c r="AT330" i="1" s="1"/>
  <c r="AU330" i="1" s="1"/>
  <c r="AK239" i="1"/>
  <c r="AY239" i="1"/>
  <c r="AH239" i="1"/>
  <c r="AY293" i="1"/>
  <c r="AR286" i="1"/>
  <c r="AT286" i="1" s="1"/>
  <c r="AU286" i="1" s="1"/>
  <c r="AY265" i="1"/>
  <c r="AY258" i="1"/>
  <c r="AY168" i="1"/>
  <c r="AK240" i="1"/>
  <c r="AH240" i="1"/>
  <c r="AG247" i="1"/>
  <c r="AR247" i="1" s="1"/>
  <c r="AT247" i="1" s="1"/>
  <c r="AU247" i="1" s="1"/>
  <c r="AR168" i="1"/>
  <c r="AT168" i="1" s="1"/>
  <c r="AU168" i="1" s="1"/>
  <c r="AR238" i="1"/>
  <c r="AT238" i="1" s="1"/>
  <c r="AU238" i="1" s="1"/>
  <c r="AR223" i="1"/>
  <c r="AT223" i="1" s="1"/>
  <c r="AU223" i="1" s="1"/>
  <c r="AK299" i="1"/>
  <c r="AG205" i="1"/>
  <c r="AH205" i="1" s="1"/>
  <c r="BG205" i="1"/>
  <c r="BH205" i="1" s="1"/>
  <c r="AH194" i="1"/>
  <c r="AK194" i="1"/>
  <c r="AR270" i="1"/>
  <c r="AT270" i="1" s="1"/>
  <c r="AU270" i="1" s="1"/>
  <c r="AR232" i="1"/>
  <c r="AT232" i="1" s="1"/>
  <c r="AU232" i="1" s="1"/>
  <c r="AH208" i="1"/>
  <c r="AY208" i="1"/>
  <c r="AK208" i="1"/>
  <c r="AY197" i="1"/>
  <c r="AH198" i="1"/>
  <c r="AY198" i="1"/>
  <c r="AK198" i="1"/>
  <c r="AY180" i="1"/>
  <c r="AK156" i="1"/>
  <c r="AH156" i="1"/>
  <c r="AR262" i="1"/>
  <c r="AT262" i="1" s="1"/>
  <c r="AU262" i="1" s="1"/>
  <c r="AH182" i="1"/>
  <c r="AK182" i="1"/>
  <c r="AY195" i="1"/>
  <c r="AR180" i="1"/>
  <c r="AT180" i="1" s="1"/>
  <c r="AU180" i="1" s="1"/>
  <c r="BG160" i="1"/>
  <c r="BH160" i="1" s="1"/>
  <c r="AR194" i="1"/>
  <c r="AT194" i="1" s="1"/>
  <c r="AU194" i="1" s="1"/>
  <c r="AY142" i="1"/>
  <c r="AY162" i="1"/>
  <c r="AG140" i="1"/>
  <c r="AR140" i="1" s="1"/>
  <c r="AT140" i="1" s="1"/>
  <c r="AU140" i="1" s="1"/>
  <c r="AY140" i="1"/>
  <c r="BG131" i="1"/>
  <c r="BH131" i="1" s="1"/>
  <c r="AH184" i="1"/>
  <c r="AK184" i="1"/>
  <c r="AH96" i="1"/>
  <c r="AK96" i="1"/>
  <c r="AK328" i="1"/>
  <c r="AH78" i="1"/>
  <c r="AK78" i="1"/>
  <c r="AK62" i="1"/>
  <c r="AH62" i="1"/>
  <c r="AH66" i="1"/>
  <c r="AK157" i="1"/>
  <c r="AR137" i="1"/>
  <c r="AT137" i="1" s="1"/>
  <c r="AU137" i="1" s="1"/>
  <c r="AR121" i="1"/>
  <c r="AT121" i="1" s="1"/>
  <c r="AU121" i="1" s="1"/>
  <c r="AK103" i="1"/>
  <c r="AH103" i="1"/>
  <c r="AR103" i="1"/>
  <c r="AT103" i="1" s="1"/>
  <c r="AU103" i="1" s="1"/>
  <c r="AH100" i="1"/>
  <c r="AK100" i="1"/>
  <c r="AY102" i="1"/>
  <c r="BG64" i="1"/>
  <c r="BH64" i="1" s="1"/>
  <c r="AY139" i="1"/>
  <c r="AK121" i="1"/>
  <c r="AR198" i="1"/>
  <c r="AT198" i="1" s="1"/>
  <c r="AU198" i="1" s="1"/>
  <c r="AK106" i="1"/>
  <c r="AR60" i="1"/>
  <c r="AT60" i="1" s="1"/>
  <c r="AU60" i="1" s="1"/>
  <c r="AR93" i="1"/>
  <c r="AT93" i="1" s="1"/>
  <c r="AU93" i="1" s="1"/>
  <c r="AH87" i="1"/>
  <c r="AY124" i="1"/>
  <c r="AY106" i="1"/>
  <c r="AH164" i="1"/>
  <c r="AK164" i="1"/>
  <c r="AR102" i="1"/>
  <c r="AT102" i="1" s="1"/>
  <c r="AU102" i="1" s="1"/>
  <c r="AG26" i="1"/>
  <c r="AR26" i="1" s="1"/>
  <c r="AT26" i="1" s="1"/>
  <c r="AU26" i="1" s="1"/>
  <c r="AK19" i="1"/>
  <c r="AH19" i="1"/>
  <c r="AH110" i="1"/>
  <c r="AK110" i="1"/>
  <c r="AG15" i="1"/>
  <c r="AH15" i="1" s="1"/>
  <c r="BJ27" i="1"/>
  <c r="BI27" i="1"/>
  <c r="AG14" i="1"/>
  <c r="AH14" i="1" s="1"/>
  <c r="BJ4" i="1"/>
  <c r="BI4" i="1"/>
  <c r="AG117" i="1"/>
  <c r="AR117" i="1" s="1"/>
  <c r="AT117" i="1" s="1"/>
  <c r="AU117" i="1" s="1"/>
  <c r="BJ58" i="1"/>
  <c r="BI58" i="1"/>
  <c r="AG55" i="1"/>
  <c r="AR55" i="1" s="1"/>
  <c r="AT55" i="1" s="1"/>
  <c r="AU55" i="1" s="1"/>
  <c r="AG13" i="1"/>
  <c r="AK13" i="1" s="1"/>
  <c r="AR136" i="1"/>
  <c r="AT136" i="1" s="1"/>
  <c r="AU136" i="1" s="1"/>
  <c r="BJ138" i="1"/>
  <c r="BI138" i="1"/>
  <c r="AY74" i="1"/>
  <c r="AY68" i="1"/>
  <c r="AK253" i="1"/>
  <c r="AH253" i="1"/>
  <c r="AH280" i="1"/>
  <c r="AK280" i="1"/>
  <c r="AR253" i="1"/>
  <c r="AT253" i="1" s="1"/>
  <c r="AU253" i="1" s="1"/>
  <c r="AH132" i="1"/>
  <c r="AK132" i="1"/>
  <c r="AH314" i="1"/>
  <c r="AK314" i="1"/>
  <c r="AR69" i="1"/>
  <c r="AT69" i="1" s="1"/>
  <c r="AU69" i="1" s="1"/>
  <c r="AH10" i="1"/>
  <c r="AK10" i="1"/>
  <c r="AH298" i="1"/>
  <c r="AK298" i="1"/>
  <c r="AH277" i="1"/>
  <c r="AK277" i="1"/>
  <c r="AY141" i="1"/>
  <c r="BG141" i="1"/>
  <c r="BH141" i="1" s="1"/>
  <c r="AY70" i="1"/>
  <c r="AG74" i="1"/>
  <c r="AK74" i="1" s="1"/>
  <c r="BI69" i="1"/>
  <c r="BJ69" i="1"/>
  <c r="AK148" i="1"/>
  <c r="AH148" i="1"/>
  <c r="AK196" i="1"/>
  <c r="AH196" i="1"/>
  <c r="AY196" i="1"/>
  <c r="BJ80" i="1"/>
  <c r="BI80" i="1"/>
  <c r="AR148" i="1"/>
  <c r="AT148" i="1" s="1"/>
  <c r="AU148" i="1" s="1"/>
  <c r="BG322" i="1"/>
  <c r="BH322" i="1" s="1"/>
  <c r="AY313" i="1"/>
  <c r="AH128" i="1"/>
  <c r="AR132" i="1"/>
  <c r="AT132" i="1" s="1"/>
  <c r="AU132" i="1" s="1"/>
  <c r="AY310" i="1"/>
  <c r="AG323" i="1"/>
  <c r="AR323" i="1" s="1"/>
  <c r="AT323" i="1" s="1"/>
  <c r="AU323" i="1" s="1"/>
  <c r="AK317" i="1"/>
  <c r="AR314" i="1"/>
  <c r="AT314" i="1" s="1"/>
  <c r="AU314" i="1" s="1"/>
  <c r="AH304" i="1"/>
  <c r="AK304" i="1"/>
  <c r="AY304" i="1"/>
  <c r="AR304" i="1"/>
  <c r="AT304" i="1" s="1"/>
  <c r="AU304" i="1" s="1"/>
  <c r="AR320" i="1"/>
  <c r="AT320" i="1" s="1"/>
  <c r="AU320" i="1" s="1"/>
  <c r="AK287" i="1"/>
  <c r="AH287" i="1"/>
  <c r="BG271" i="1"/>
  <c r="BH271" i="1" s="1"/>
  <c r="BG307" i="1"/>
  <c r="BH307" i="1" s="1"/>
  <c r="AY306" i="1"/>
  <c r="AR134" i="1"/>
  <c r="AT134" i="1" s="1"/>
  <c r="AU134" i="1" s="1"/>
  <c r="BG294" i="1"/>
  <c r="BH294" i="1" s="1"/>
  <c r="AK279" i="1"/>
  <c r="AY268" i="1"/>
  <c r="AY133" i="1"/>
  <c r="AK300" i="1"/>
  <c r="AH300" i="1"/>
  <c r="AY300" i="1"/>
  <c r="AH130" i="1"/>
  <c r="AK130" i="1"/>
  <c r="BG130" i="1"/>
  <c r="BH130" i="1" s="1"/>
  <c r="BG284" i="1"/>
  <c r="BH284" i="1" s="1"/>
  <c r="AG289" i="1"/>
  <c r="AH289" i="1" s="1"/>
  <c r="AY289" i="1"/>
  <c r="AY264" i="1"/>
  <c r="BG168" i="1"/>
  <c r="BH168" i="1" s="1"/>
  <c r="BD311" i="1"/>
  <c r="BG311" i="1" s="1"/>
  <c r="BH311" i="1" s="1"/>
  <c r="BG310" i="1"/>
  <c r="BH310" i="1" s="1"/>
  <c r="AR300" i="1"/>
  <c r="AT300" i="1" s="1"/>
  <c r="AU300" i="1" s="1"/>
  <c r="AR272" i="1"/>
  <c r="AT272" i="1" s="1"/>
  <c r="AU272" i="1" s="1"/>
  <c r="AH251" i="1"/>
  <c r="AK251" i="1"/>
  <c r="AK257" i="1"/>
  <c r="AY237" i="1"/>
  <c r="AH293" i="1"/>
  <c r="AK125" i="1"/>
  <c r="AH125" i="1"/>
  <c r="AK202" i="1"/>
  <c r="AH202" i="1"/>
  <c r="AK169" i="1"/>
  <c r="AH169" i="1"/>
  <c r="BD306" i="1"/>
  <c r="BG306" i="1" s="1"/>
  <c r="BH306" i="1" s="1"/>
  <c r="AY284" i="1"/>
  <c r="AY291" i="1"/>
  <c r="AY241" i="1"/>
  <c r="AY266" i="1"/>
  <c r="AY125" i="1"/>
  <c r="AR125" i="1"/>
  <c r="AT125" i="1" s="1"/>
  <c r="AU125" i="1" s="1"/>
  <c r="AR252" i="1"/>
  <c r="AT252" i="1" s="1"/>
  <c r="AU252" i="1" s="1"/>
  <c r="BG238" i="1"/>
  <c r="BH238" i="1" s="1"/>
  <c r="AR197" i="1"/>
  <c r="AT197" i="1" s="1"/>
  <c r="AU197" i="1" s="1"/>
  <c r="AY222" i="1"/>
  <c r="AH232" i="1"/>
  <c r="AH185" i="1"/>
  <c r="AK185" i="1"/>
  <c r="AY185" i="1"/>
  <c r="AY202" i="1"/>
  <c r="AH183" i="1"/>
  <c r="AY183" i="1"/>
  <c r="AK183" i="1"/>
  <c r="AY169" i="1"/>
  <c r="AK222" i="1"/>
  <c r="AR237" i="1"/>
  <c r="AT237" i="1" s="1"/>
  <c r="AU237" i="1" s="1"/>
  <c r="AR185" i="1"/>
  <c r="AT185" i="1" s="1"/>
  <c r="AU185" i="1" s="1"/>
  <c r="AY199" i="1"/>
  <c r="AH160" i="1"/>
  <c r="AK160" i="1"/>
  <c r="BJ191" i="1"/>
  <c r="BI191" i="1"/>
  <c r="BG195" i="1"/>
  <c r="BH195" i="1" s="1"/>
  <c r="AK144" i="1"/>
  <c r="AH144" i="1"/>
  <c r="BG62" i="1"/>
  <c r="BH62" i="1" s="1"/>
  <c r="AR144" i="1"/>
  <c r="AT144" i="1" s="1"/>
  <c r="AU144" i="1" s="1"/>
  <c r="AH328" i="1"/>
  <c r="BG83" i="1"/>
  <c r="BH83" i="1" s="1"/>
  <c r="AY84" i="1"/>
  <c r="AH101" i="1"/>
  <c r="AK101" i="1"/>
  <c r="AY92" i="1"/>
  <c r="AH67" i="1"/>
  <c r="AY119" i="1"/>
  <c r="AK66" i="1"/>
  <c r="AR96" i="1"/>
  <c r="AT96" i="1" s="1"/>
  <c r="AU96" i="1" s="1"/>
  <c r="AY87" i="1"/>
  <c r="AY235" i="1"/>
  <c r="AR65" i="1"/>
  <c r="AT65" i="1" s="1"/>
  <c r="AU65" i="1" s="1"/>
  <c r="AH121" i="1"/>
  <c r="AR100" i="1"/>
  <c r="AT100" i="1" s="1"/>
  <c r="AU100" i="1" s="1"/>
  <c r="AR139" i="1"/>
  <c r="AT139" i="1" s="1"/>
  <c r="AU139" i="1" s="1"/>
  <c r="AR199" i="1"/>
  <c r="AT199" i="1" s="1"/>
  <c r="AU199" i="1" s="1"/>
  <c r="AY94" i="1"/>
  <c r="AH93" i="1"/>
  <c r="AY67" i="1"/>
  <c r="AY66" i="1"/>
  <c r="AH5" i="1"/>
  <c r="AK5" i="1"/>
  <c r="AH102" i="1"/>
  <c r="AG56" i="1"/>
  <c r="AR56" i="1" s="1"/>
  <c r="AT56" i="1" s="1"/>
  <c r="AU56" i="1" s="1"/>
  <c r="AR19" i="1"/>
  <c r="AT19" i="1" s="1"/>
  <c r="AU19" i="1" s="1"/>
  <c r="BJ14" i="1"/>
  <c r="BI14" i="1"/>
  <c r="AG20" i="1"/>
  <c r="AK20" i="1" s="1"/>
  <c r="BJ117" i="1"/>
  <c r="BI117" i="1"/>
  <c r="AG111" i="1"/>
  <c r="AK111" i="1" s="1"/>
  <c r="AR164" i="1"/>
  <c r="AT164" i="1" s="1"/>
  <c r="AU164" i="1" s="1"/>
  <c r="AK136" i="1"/>
  <c r="AH136" i="1"/>
  <c r="AY253" i="1"/>
  <c r="AY322" i="1"/>
  <c r="BG132" i="1"/>
  <c r="BH132" i="1" s="1"/>
  <c r="AY326" i="1"/>
  <c r="BD326" i="1"/>
  <c r="BG326" i="1" s="1"/>
  <c r="BH326" i="1" s="1"/>
  <c r="AR68" i="1"/>
  <c r="AT68" i="1" s="1"/>
  <c r="AU68" i="1" s="1"/>
  <c r="BD321" i="1"/>
  <c r="BG321" i="1" s="1"/>
  <c r="BH321" i="1" s="1"/>
  <c r="AY317" i="1"/>
  <c r="AK313" i="1"/>
  <c r="AH313" i="1"/>
  <c r="AY69" i="1"/>
  <c r="AK128" i="1"/>
  <c r="AR317" i="1"/>
  <c r="AT317" i="1" s="1"/>
  <c r="AU317" i="1" s="1"/>
  <c r="AY298" i="1"/>
  <c r="AY296" i="1"/>
  <c r="BG312" i="1"/>
  <c r="BH312" i="1" s="1"/>
  <c r="AH307" i="1"/>
  <c r="AK307" i="1"/>
  <c r="AK293" i="1"/>
  <c r="AR10" i="1"/>
  <c r="AT10" i="1" s="1"/>
  <c r="AU10" i="1" s="1"/>
  <c r="AY307" i="1"/>
  <c r="AY277" i="1"/>
  <c r="AK249" i="1"/>
  <c r="AK308" i="1"/>
  <c r="AH308" i="1"/>
  <c r="AG267" i="1"/>
  <c r="AY267" i="1"/>
  <c r="AR306" i="1"/>
  <c r="AT306" i="1" s="1"/>
  <c r="AU306" i="1" s="1"/>
  <c r="BD298" i="1"/>
  <c r="BG298" i="1" s="1"/>
  <c r="BH298" i="1" s="1"/>
  <c r="AR279" i="1"/>
  <c r="AT279" i="1" s="1"/>
  <c r="AU279" i="1" s="1"/>
  <c r="AH250" i="1"/>
  <c r="AK250" i="1"/>
  <c r="AR291" i="1"/>
  <c r="AT291" i="1" s="1"/>
  <c r="AU291" i="1" s="1"/>
  <c r="AY249" i="1"/>
  <c r="AK225" i="1"/>
  <c r="AH225" i="1"/>
  <c r="AK204" i="1"/>
  <c r="AH204" i="1"/>
  <c r="AK142" i="1"/>
  <c r="AH142" i="1"/>
  <c r="AK258" i="1"/>
  <c r="AK236" i="1"/>
  <c r="AY236" i="1"/>
  <c r="AH236" i="1"/>
  <c r="AR130" i="1"/>
  <c r="AT130" i="1" s="1"/>
  <c r="AU130" i="1" s="1"/>
  <c r="AR292" i="1"/>
  <c r="AT292" i="1" s="1"/>
  <c r="AU292" i="1" s="1"/>
  <c r="AR264" i="1"/>
  <c r="AT264" i="1" s="1"/>
  <c r="AU264" i="1" s="1"/>
  <c r="AR250" i="1"/>
  <c r="AT250" i="1" s="1"/>
  <c r="AU250" i="1" s="1"/>
  <c r="BG240" i="1"/>
  <c r="BH240" i="1" s="1"/>
  <c r="AR207" i="1"/>
  <c r="AT207" i="1" s="1"/>
  <c r="AU207" i="1" s="1"/>
  <c r="AH192" i="1"/>
  <c r="AK192" i="1"/>
  <c r="AR222" i="1"/>
  <c r="AT222" i="1" s="1"/>
  <c r="AU222" i="1" s="1"/>
  <c r="AY204" i="1"/>
  <c r="AH177" i="1"/>
  <c r="AY177" i="1"/>
  <c r="AK177" i="1"/>
  <c r="AR186" i="1"/>
  <c r="AT186" i="1" s="1"/>
  <c r="AU186" i="1" s="1"/>
  <c r="AR147" i="1"/>
  <c r="AT147" i="1" s="1"/>
  <c r="AU147" i="1" s="1"/>
  <c r="AY157" i="1"/>
  <c r="AK241" i="1"/>
  <c r="AH241" i="1"/>
  <c r="AR162" i="1"/>
  <c r="AT162" i="1" s="1"/>
  <c r="AU162" i="1" s="1"/>
  <c r="AR191" i="1"/>
  <c r="AT191" i="1" s="1"/>
  <c r="AU191" i="1" s="1"/>
  <c r="AH195" i="1"/>
  <c r="AK195" i="1"/>
  <c r="AR169" i="1"/>
  <c r="AT169" i="1" s="1"/>
  <c r="AU169" i="1" s="1"/>
  <c r="AH166" i="1"/>
  <c r="AY166" i="1"/>
  <c r="AK166" i="1"/>
  <c r="AR182" i="1"/>
  <c r="AT182" i="1" s="1"/>
  <c r="AU182" i="1" s="1"/>
  <c r="AR124" i="1"/>
  <c r="AT124" i="1" s="1"/>
  <c r="AU124" i="1" s="1"/>
  <c r="AY103" i="1"/>
  <c r="AH83" i="1"/>
  <c r="AK83" i="1"/>
  <c r="AK92" i="1"/>
  <c r="AH92" i="1"/>
  <c r="AR328" i="1"/>
  <c r="AT328" i="1" s="1"/>
  <c r="AU328" i="1" s="1"/>
  <c r="AH263" i="1"/>
  <c r="AK263" i="1"/>
  <c r="AK67" i="1"/>
  <c r="AR156" i="1"/>
  <c r="AT156" i="1" s="1"/>
  <c r="AU156" i="1" s="1"/>
  <c r="AY93" i="1"/>
  <c r="AK84" i="1"/>
  <c r="AH84" i="1"/>
  <c r="AR84" i="1"/>
  <c r="AT84" i="1" s="1"/>
  <c r="AU84" i="1" s="1"/>
  <c r="AR78" i="1"/>
  <c r="AT78" i="1" s="1"/>
  <c r="AU78" i="1" s="1"/>
  <c r="AK235" i="1"/>
  <c r="BG60" i="1"/>
  <c r="BH60" i="1" s="1"/>
  <c r="AK51" i="1"/>
  <c r="AH51" i="1"/>
  <c r="AR51" i="1"/>
  <c r="AT51" i="1" s="1"/>
  <c r="AU51" i="1" s="1"/>
  <c r="AR166" i="1"/>
  <c r="AT166" i="1" s="1"/>
  <c r="AU166" i="1" s="1"/>
  <c r="AH97" i="1"/>
  <c r="AK97" i="1"/>
  <c r="AR62" i="1"/>
  <c r="AT62" i="1" s="1"/>
  <c r="AU62" i="1" s="1"/>
  <c r="AG2" i="1"/>
  <c r="AR2" i="1" s="1"/>
  <c r="AT2" i="1" s="1"/>
  <c r="AU2" i="1" s="1"/>
  <c r="AK24" i="1"/>
  <c r="AH24" i="1"/>
  <c r="AH127" i="1"/>
  <c r="AK127" i="1"/>
  <c r="AG3" i="1"/>
  <c r="AH3" i="1" s="1"/>
  <c r="AR24" i="1"/>
  <c r="AT24" i="1" s="1"/>
  <c r="AU24" i="1" s="1"/>
  <c r="BJ20" i="1"/>
  <c r="BI20" i="1"/>
  <c r="AG57" i="1"/>
  <c r="AH57" i="1" s="1"/>
  <c r="BJ111" i="1"/>
  <c r="BI111" i="1"/>
  <c r="BI92" i="1" l="1"/>
  <c r="BJ278" i="1"/>
  <c r="BI285" i="1"/>
  <c r="BI142" i="1"/>
  <c r="BI289" i="1"/>
  <c r="BJ309" i="1"/>
  <c r="BI316" i="1"/>
  <c r="BJ282" i="1"/>
  <c r="BI147" i="1"/>
  <c r="BI327" i="1"/>
  <c r="BI210" i="1"/>
  <c r="BI86" i="1"/>
  <c r="BI65" i="1"/>
  <c r="BJ89" i="1"/>
  <c r="BJ223" i="1"/>
  <c r="BI156" i="1"/>
  <c r="BJ270" i="1"/>
  <c r="BI329" i="1"/>
  <c r="BI304" i="1"/>
  <c r="BJ236" i="1"/>
  <c r="BI166" i="1"/>
  <c r="BJ59" i="1"/>
  <c r="BI101" i="1"/>
  <c r="BJ106" i="1"/>
  <c r="BJ91" i="1"/>
  <c r="BI66" i="1"/>
  <c r="BJ139" i="1"/>
  <c r="BI124" i="1"/>
  <c r="BI266" i="1"/>
  <c r="BI208" i="1"/>
  <c r="BI295" i="1"/>
  <c r="BI243" i="1"/>
  <c r="BI280" i="1"/>
  <c r="BJ21" i="1"/>
  <c r="BJ258" i="1"/>
  <c r="BJ136" i="1"/>
  <c r="BI157" i="1"/>
  <c r="BJ87" i="1"/>
  <c r="BJ292" i="1"/>
  <c r="BJ97" i="1"/>
  <c r="BI105" i="1"/>
  <c r="BJ74" i="1"/>
  <c r="BI277" i="1"/>
  <c r="BJ144" i="1"/>
  <c r="BJ104" i="1"/>
  <c r="BJ232" i="1"/>
  <c r="BJ252" i="1"/>
  <c r="BI180" i="1"/>
  <c r="AK73" i="1"/>
  <c r="BJ272" i="1"/>
  <c r="BJ290" i="1"/>
  <c r="AR15" i="1"/>
  <c r="AT15" i="1" s="1"/>
  <c r="AU15" i="1" s="1"/>
  <c r="BI90" i="1"/>
  <c r="BJ127" i="1"/>
  <c r="AR283" i="1"/>
  <c r="AT283" i="1" s="1"/>
  <c r="AU283" i="1" s="1"/>
  <c r="BI299" i="1"/>
  <c r="BI77" i="1"/>
  <c r="BI244" i="1"/>
  <c r="BJ164" i="1"/>
  <c r="BI88" i="1"/>
  <c r="BJ70" i="1"/>
  <c r="BJ197" i="1"/>
  <c r="BJ268" i="1"/>
  <c r="BI287" i="1"/>
  <c r="BI121" i="1"/>
  <c r="BI209" i="1"/>
  <c r="AK22" i="1"/>
  <c r="BJ170" i="1"/>
  <c r="BJ186" i="1"/>
  <c r="BJ110" i="1"/>
  <c r="BJ183" i="1"/>
  <c r="BI320" i="1"/>
  <c r="BI193" i="1"/>
  <c r="BI137" i="1"/>
  <c r="BJ16" i="1"/>
  <c r="BJ297" i="1"/>
  <c r="BI230" i="1"/>
  <c r="AK309" i="1"/>
  <c r="BI291" i="1"/>
  <c r="AH309" i="1"/>
  <c r="BI75" i="1"/>
  <c r="BI249" i="1"/>
  <c r="BJ196" i="1"/>
  <c r="BJ71" i="1"/>
  <c r="BI51" i="1"/>
  <c r="BI52" i="1"/>
  <c r="BI98" i="1"/>
  <c r="BI194" i="1"/>
  <c r="BJ192" i="1"/>
  <c r="BI122" i="1"/>
  <c r="BJ107" i="1"/>
  <c r="BJ133" i="1"/>
  <c r="BJ201" i="1"/>
  <c r="BJ85" i="1"/>
  <c r="AK288" i="1"/>
  <c r="BJ267" i="1"/>
  <c r="AR64" i="1"/>
  <c r="AT64" i="1" s="1"/>
  <c r="AU64" i="1" s="1"/>
  <c r="BJ19" i="1"/>
  <c r="BI84" i="1"/>
  <c r="AK205" i="1"/>
  <c r="BJ67" i="1"/>
  <c r="BI286" i="1"/>
  <c r="BI72" i="1"/>
  <c r="AH64" i="1"/>
  <c r="BJ207" i="1"/>
  <c r="BI256" i="1"/>
  <c r="BI76" i="1"/>
  <c r="BJ257" i="1"/>
  <c r="BJ276" i="1"/>
  <c r="BJ235" i="1"/>
  <c r="AK140" i="1"/>
  <c r="BI95" i="1"/>
  <c r="BI279" i="1"/>
  <c r="BJ158" i="1"/>
  <c r="BI237" i="1"/>
  <c r="BJ302" i="1"/>
  <c r="BJ199" i="1"/>
  <c r="AK247" i="1"/>
  <c r="AH25" i="1"/>
  <c r="AH26" i="1"/>
  <c r="BJ328" i="1"/>
  <c r="BI94" i="1"/>
  <c r="BI204" i="1"/>
  <c r="BJ222" i="1"/>
  <c r="BJ239" i="1"/>
  <c r="BI283" i="1"/>
  <c r="AK17" i="1"/>
  <c r="BJ169" i="1"/>
  <c r="BJ162" i="1"/>
  <c r="BJ61" i="1"/>
  <c r="BI82" i="1"/>
  <c r="BI93" i="1"/>
  <c r="BJ178" i="1"/>
  <c r="AR278" i="1"/>
  <c r="AT278" i="1" s="1"/>
  <c r="AU278" i="1" s="1"/>
  <c r="BI330" i="1"/>
  <c r="AH294" i="1"/>
  <c r="BI293" i="1"/>
  <c r="BJ135" i="1"/>
  <c r="BI78" i="1"/>
  <c r="BJ184" i="1"/>
  <c r="BJ102" i="1"/>
  <c r="BI242" i="1"/>
  <c r="BJ265" i="1"/>
  <c r="BI54" i="1"/>
  <c r="AK278" i="1"/>
  <c r="AK283" i="1"/>
  <c r="BI203" i="1"/>
  <c r="BI7" i="1"/>
  <c r="BI99" i="1"/>
  <c r="AH112" i="1"/>
  <c r="BJ313" i="1"/>
  <c r="AR112" i="1"/>
  <c r="AT112" i="1" s="1"/>
  <c r="AU112" i="1" s="1"/>
  <c r="AH13" i="1"/>
  <c r="AH17" i="1"/>
  <c r="BI140" i="1"/>
  <c r="AK25" i="1"/>
  <c r="AK294" i="1"/>
  <c r="BI273" i="1"/>
  <c r="BJ300" i="1"/>
  <c r="BJ100" i="1"/>
  <c r="BJ23" i="1"/>
  <c r="BI23" i="1"/>
  <c r="AR289" i="1"/>
  <c r="AT289" i="1" s="1"/>
  <c r="AU289" i="1" s="1"/>
  <c r="BJ274" i="1"/>
  <c r="BJ225" i="1"/>
  <c r="BI182" i="1"/>
  <c r="AK243" i="1"/>
  <c r="BI264" i="1"/>
  <c r="BJ288" i="1"/>
  <c r="BI22" i="1"/>
  <c r="BJ24" i="1"/>
  <c r="AH55" i="1"/>
  <c r="BI263" i="1"/>
  <c r="BI103" i="1"/>
  <c r="BI112" i="1"/>
  <c r="BJ250" i="1"/>
  <c r="AH73" i="1"/>
  <c r="BJ319" i="1"/>
  <c r="BJ296" i="1"/>
  <c r="BJ126" i="1"/>
  <c r="BI118" i="1"/>
  <c r="AR27" i="1"/>
  <c r="AT27" i="1" s="1"/>
  <c r="AU27" i="1" s="1"/>
  <c r="AH247" i="1"/>
  <c r="AK129" i="1"/>
  <c r="AK256" i="1"/>
  <c r="BJ212" i="1"/>
  <c r="BI202" i="1"/>
  <c r="AH243" i="1"/>
  <c r="BI315" i="1"/>
  <c r="BI247" i="1"/>
  <c r="BI301" i="1"/>
  <c r="BJ198" i="1"/>
  <c r="AK181" i="1"/>
  <c r="AR181" i="1"/>
  <c r="AT181" i="1" s="1"/>
  <c r="AU181" i="1" s="1"/>
  <c r="AK301" i="1"/>
  <c r="AK323" i="1"/>
  <c r="AH301" i="1"/>
  <c r="AK4" i="1"/>
  <c r="BJ148" i="1"/>
  <c r="BI269" i="1"/>
  <c r="BI120" i="1"/>
  <c r="BJ120" i="1"/>
  <c r="AR193" i="1"/>
  <c r="AT193" i="1" s="1"/>
  <c r="AU193" i="1" s="1"/>
  <c r="AK193" i="1"/>
  <c r="BI187" i="1"/>
  <c r="AR14" i="1"/>
  <c r="AT14" i="1" s="1"/>
  <c r="AU14" i="1" s="1"/>
  <c r="AR205" i="1"/>
  <c r="AT205" i="1" s="1"/>
  <c r="AU205" i="1" s="1"/>
  <c r="AH129" i="1"/>
  <c r="BI303" i="1"/>
  <c r="BI96" i="1"/>
  <c r="AH22" i="1"/>
  <c r="BJ190" i="1"/>
  <c r="BI190" i="1"/>
  <c r="BJ114" i="1"/>
  <c r="BI114" i="1"/>
  <c r="AK55" i="1"/>
  <c r="AR209" i="1"/>
  <c r="AT209" i="1" s="1"/>
  <c r="AU209" i="1" s="1"/>
  <c r="BI262" i="1"/>
  <c r="BJ200" i="1"/>
  <c r="BI200" i="1"/>
  <c r="BJ275" i="1"/>
  <c r="BI275" i="1"/>
  <c r="AH323" i="1"/>
  <c r="AH193" i="1"/>
  <c r="AH56" i="1"/>
  <c r="AR288" i="1"/>
  <c r="AT288" i="1" s="1"/>
  <c r="AU288" i="1" s="1"/>
  <c r="AK143" i="1"/>
  <c r="AR116" i="1"/>
  <c r="AT116" i="1" s="1"/>
  <c r="AU116" i="1" s="1"/>
  <c r="AK116" i="1"/>
  <c r="AH116" i="1"/>
  <c r="AR12" i="1"/>
  <c r="AT12" i="1" s="1"/>
  <c r="AU12" i="1" s="1"/>
  <c r="AH242" i="1"/>
  <c r="AR242" i="1"/>
  <c r="AT242" i="1" s="1"/>
  <c r="AU242" i="1" s="1"/>
  <c r="AK26" i="1"/>
  <c r="AK170" i="1"/>
  <c r="AH170" i="1"/>
  <c r="BJ177" i="1"/>
  <c r="BI177" i="1"/>
  <c r="AR58" i="1"/>
  <c r="AT58" i="1" s="1"/>
  <c r="AU58" i="1" s="1"/>
  <c r="BJ185" i="1"/>
  <c r="BI185" i="1"/>
  <c r="BJ113" i="1"/>
  <c r="BI113" i="1"/>
  <c r="AH12" i="1"/>
  <c r="AH143" i="1"/>
  <c r="AK27" i="1"/>
  <c r="AH58" i="1"/>
  <c r="BJ115" i="1"/>
  <c r="BI115" i="1"/>
  <c r="BI318" i="1"/>
  <c r="BJ318" i="1"/>
  <c r="AK209" i="1"/>
  <c r="BJ63" i="1"/>
  <c r="BI63" i="1"/>
  <c r="BI246" i="1"/>
  <c r="BJ246" i="1"/>
  <c r="AH105" i="1"/>
  <c r="AR105" i="1"/>
  <c r="AT105" i="1" s="1"/>
  <c r="AU105" i="1" s="1"/>
  <c r="AK105" i="1"/>
  <c r="BJ145" i="1"/>
  <c r="BI145" i="1"/>
  <c r="BJ306" i="1"/>
  <c r="BI306" i="1"/>
  <c r="AR267" i="1"/>
  <c r="AT267" i="1" s="1"/>
  <c r="AU267" i="1" s="1"/>
  <c r="AH267" i="1"/>
  <c r="AK267" i="1"/>
  <c r="BI312" i="1"/>
  <c r="BJ312" i="1"/>
  <c r="BJ132" i="1"/>
  <c r="BI132" i="1"/>
  <c r="AR57" i="1"/>
  <c r="AT57" i="1" s="1"/>
  <c r="AU57" i="1" s="1"/>
  <c r="BJ130" i="1"/>
  <c r="BI130" i="1"/>
  <c r="AK56" i="1"/>
  <c r="AR13" i="1"/>
  <c r="AT13" i="1" s="1"/>
  <c r="AU13" i="1" s="1"/>
  <c r="AK117" i="1"/>
  <c r="AR111" i="1"/>
  <c r="AT111" i="1" s="1"/>
  <c r="AU111" i="1" s="1"/>
  <c r="AR4" i="1"/>
  <c r="AT4" i="1" s="1"/>
  <c r="AU4" i="1" s="1"/>
  <c r="AH20" i="1"/>
  <c r="AR273" i="1"/>
  <c r="AT273" i="1" s="1"/>
  <c r="AU273" i="1" s="1"/>
  <c r="AH273" i="1"/>
  <c r="AK273" i="1"/>
  <c r="AH256" i="1"/>
  <c r="AH315" i="1"/>
  <c r="AH74" i="1"/>
  <c r="AR3" i="1"/>
  <c r="AT3" i="1" s="1"/>
  <c r="AU3" i="1" s="1"/>
  <c r="BJ60" i="1"/>
  <c r="BI60" i="1"/>
  <c r="BJ195" i="1"/>
  <c r="BI195" i="1"/>
  <c r="BI310" i="1"/>
  <c r="BJ310" i="1"/>
  <c r="BJ322" i="1"/>
  <c r="BI322" i="1"/>
  <c r="BJ141" i="1"/>
  <c r="BI141" i="1"/>
  <c r="AK2" i="1"/>
  <c r="BJ131" i="1"/>
  <c r="BI131" i="1"/>
  <c r="BJ205" i="1"/>
  <c r="BI205" i="1"/>
  <c r="BJ251" i="1"/>
  <c r="BI251" i="1"/>
  <c r="BI134" i="1"/>
  <c r="BJ134" i="1"/>
  <c r="BJ129" i="1"/>
  <c r="BI129" i="1"/>
  <c r="AR271" i="1"/>
  <c r="AT271" i="1" s="1"/>
  <c r="AU271" i="1" s="1"/>
  <c r="AH271" i="1"/>
  <c r="AK271" i="1"/>
  <c r="BI323" i="1"/>
  <c r="BJ323" i="1"/>
  <c r="AK57" i="1"/>
  <c r="AK14" i="1"/>
  <c r="AH111" i="1"/>
  <c r="AK15" i="1"/>
  <c r="AH140" i="1"/>
  <c r="BI321" i="1"/>
  <c r="BJ321" i="1"/>
  <c r="BJ326" i="1"/>
  <c r="BI326" i="1"/>
  <c r="AH2" i="1"/>
  <c r="BJ62" i="1"/>
  <c r="BI62" i="1"/>
  <c r="BJ311" i="1"/>
  <c r="BI311" i="1"/>
  <c r="BJ307" i="1"/>
  <c r="BI307" i="1"/>
  <c r="BJ271" i="1"/>
  <c r="BI271" i="1"/>
  <c r="BJ160" i="1"/>
  <c r="BI160" i="1"/>
  <c r="BJ305" i="1"/>
  <c r="BI305" i="1"/>
  <c r="AH117" i="1"/>
  <c r="AK3" i="1"/>
  <c r="AK289" i="1"/>
  <c r="AK315" i="1"/>
  <c r="AR74" i="1"/>
  <c r="AT74" i="1" s="1"/>
  <c r="AU74" i="1" s="1"/>
  <c r="BI240" i="1"/>
  <c r="BJ240" i="1"/>
  <c r="BI298" i="1"/>
  <c r="BJ298" i="1"/>
  <c r="BJ83" i="1"/>
  <c r="BI83" i="1"/>
  <c r="BI238" i="1"/>
  <c r="BJ238" i="1"/>
  <c r="BJ168" i="1"/>
  <c r="BI168" i="1"/>
  <c r="BI284" i="1"/>
  <c r="BJ284" i="1"/>
  <c r="BJ294" i="1"/>
  <c r="BI294" i="1"/>
  <c r="BI308" i="1"/>
  <c r="BJ308" i="1"/>
  <c r="BJ64" i="1"/>
  <c r="BI64" i="1"/>
  <c r="BJ10" i="1"/>
  <c r="BI10" i="1"/>
  <c r="BJ317" i="1"/>
  <c r="BI317" i="1"/>
  <c r="BJ73" i="1"/>
  <c r="BI73" i="1"/>
  <c r="AR20" i="1"/>
  <c r="AT20" i="1" s="1"/>
  <c r="AU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BuketPalanci</author>
  </authors>
  <commentList>
    <comment ref="B3" authorId="0" shapeId="0" xr:uid="{5B5BCA14-B175-40F6-9A4A-349B5A8E0C2E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dersi seçen olmadığı için ders programından kaldırıldı.</t>
        </r>
      </text>
    </comment>
    <comment ref="B17" authorId="0" shapeId="0" xr:uid="{D8B8AA89-DB76-4539-9FF1-3269C6EEAC6E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dersi seçen olmadığı için ders programından kaldırıldı.</t>
        </r>
      </text>
    </comment>
    <comment ref="B61" authorId="0" shapeId="0" xr:uid="{4EDB9B4B-C405-4B5A-9051-78C2119B5750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Klinik dilbilim dersi güzde verildi. Fonetik bahara alınmıştır.</t>
        </r>
      </text>
    </comment>
    <comment ref="B78" authorId="0" shapeId="0" xr:uid="{0DB8850C-078B-40B2-9E3B-81EB44973FD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dersi seçen olmadığı için ders programından kaldırıldı.</t>
        </r>
      </text>
    </comment>
    <comment ref="B123" authorId="0" shapeId="0" xr:uid="{C1E8CF51-BDC6-492B-8B13-C9331DC275CB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Turizm Bilg. Ve Coğ. Dersi güzde açıldı. Yerine Teml. Mut. Uyg - I açıldı.</t>
        </r>
      </text>
    </comment>
    <comment ref="B165" authorId="0" shapeId="0" xr:uid="{59359C0B-7EAE-450F-8F42-1F6168EC8378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ders, seçen olmadığı için ders programından kaldırıldı.</t>
        </r>
      </text>
    </comment>
    <comment ref="B259" authorId="0" shapeId="0" xr:uid="{AB12E60E-15F6-4026-BB2D-55E75FCCC4D6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müfredat dışı kota</t>
        </r>
      </text>
    </comment>
    <comment ref="B260" authorId="0" shapeId="0" xr:uid="{074A62DD-952F-4D6D-B962-9A22799EAFC0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müfredat dışı kota</t>
        </r>
      </text>
    </comment>
    <comment ref="B261" authorId="0" shapeId="0" xr:uid="{59D107D5-8378-4914-98FE-C24327DA8046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müfredat dışı kota</t>
        </r>
      </text>
    </comment>
    <comment ref="B294" authorId="0" shapeId="0" xr:uid="{99FE44C8-D508-419C-9073-09CC855E31EE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Entegre Modüler Aviyonik Sistemler yerine açıldı.</t>
        </r>
      </text>
    </comment>
    <comment ref="C294" authorId="0" shapeId="0" xr:uid="{B2919284-D52E-4975-9D1B-07699A988C21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Entegre Modüler Aviyonik Sistemler yerine açıldı.</t>
        </r>
      </text>
    </comment>
    <comment ref="B336" authorId="0" shapeId="0" xr:uid="{7EBCC934-0F0D-4014-B558-B820874ABF08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açılmamıştı bahara ekledik.</t>
        </r>
      </text>
    </comment>
    <comment ref="B337" authorId="0" shapeId="0" xr:uid="{FC473508-0DCD-47AC-9BD6-04A3F9DE5980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açılmamıştı bahara ekledik.</t>
        </r>
      </text>
    </comment>
    <comment ref="B338" authorId="0" shapeId="0" xr:uid="{90D632DE-9D58-4F34-87CC-DDDEEAF830BE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açılmamıştı bahara alınmıştı.</t>
        </r>
      </text>
    </comment>
    <comment ref="B339" authorId="0" shapeId="0" xr:uid="{2F1CCB8B-EA45-4F2A-A3D2-519DC20F045A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açılmamıştı bahara alınmıştı.</t>
        </r>
      </text>
    </comment>
  </commentList>
</comments>
</file>

<file path=xl/sharedStrings.xml><?xml version="1.0" encoding="utf-8"?>
<sst xmlns="http://schemas.openxmlformats.org/spreadsheetml/2006/main" count="2721" uniqueCount="536">
  <si>
    <t>Statu</t>
  </si>
  <si>
    <t>Grup</t>
  </si>
  <si>
    <t>Program_adi</t>
  </si>
  <si>
    <t>Program_ID</t>
  </si>
  <si>
    <t>İntibak</t>
  </si>
  <si>
    <t>KION_ID</t>
  </si>
  <si>
    <t>Nokta_V2_ID</t>
  </si>
  <si>
    <t>ECTS</t>
  </si>
  <si>
    <t>Krd.</t>
  </si>
  <si>
    <t>Top.</t>
  </si>
  <si>
    <t>Teo.</t>
  </si>
  <si>
    <t>Uyg.</t>
  </si>
  <si>
    <t>Uzk.</t>
  </si>
  <si>
    <t>Ort.</t>
  </si>
  <si>
    <t>Öğr. Unvan</t>
  </si>
  <si>
    <t>İngilizce Uzun Ad</t>
  </si>
  <si>
    <t>İngilizce Kısa Ad</t>
  </si>
  <si>
    <t>Ölçme Sistemi</t>
  </si>
  <si>
    <t>Kısa Sınav Sayısı</t>
  </si>
  <si>
    <t>Vize/Proje/D. Ödev Sayısı</t>
  </si>
  <si>
    <t>Final</t>
  </si>
  <si>
    <t>Kısa Sınav Çalışma Saati</t>
  </si>
  <si>
    <t>Vize/Proje/D. Ödev Çalışma Saatiı</t>
  </si>
  <si>
    <t>Final Çalışma Saati</t>
  </si>
  <si>
    <t>Kısa Sınav Toplam Çalışma Saati</t>
  </si>
  <si>
    <t>Final Çalışma Toplam Çalışma Saati</t>
  </si>
  <si>
    <t>Toplam Sınava Çalışma Saati</t>
  </si>
  <si>
    <t>Varsayılan Ev Çalışma Haftası</t>
  </si>
  <si>
    <t>Dönem İçi Toplam Sınav Sayısı</t>
  </si>
  <si>
    <t>Haftalık Ev Çalışma Saati</t>
  </si>
  <si>
    <t>Toplam Ev Çalışması Saati</t>
  </si>
  <si>
    <t>Dönem İçi ve Sonu Toplam Sınav Sayısı</t>
  </si>
  <si>
    <t>Sınava Ayrılan Süre Varsayımı</t>
  </si>
  <si>
    <t>Sınav İçin Harcanan İş Yükü</t>
  </si>
  <si>
    <t>Hafta Sayısı</t>
  </si>
  <si>
    <t>Toplam Ders Saati</t>
  </si>
  <si>
    <t>Toplam İş Yükü</t>
  </si>
  <si>
    <t>ECTS Hesap Parametresi</t>
  </si>
  <si>
    <t>Kontrol (ECTS)</t>
  </si>
  <si>
    <t>Quiz/Ödev Hazılık %25</t>
  </si>
  <si>
    <t>Vize/Hazırlık</t>
  </si>
  <si>
    <t>Final
/Proje Hazırlık</t>
  </si>
  <si>
    <t>Kontrol1</t>
  </si>
  <si>
    <t>Ev
Çalışması</t>
  </si>
  <si>
    <t>Kontrol2</t>
  </si>
  <si>
    <t>Sınav
 İş
Yükü</t>
  </si>
  <si>
    <t>Kontrol3</t>
  </si>
  <si>
    <t>Toplam
Ders Dışı
Çalışma
İş Yükü</t>
  </si>
  <si>
    <t>Eğitim
Türü
(T/S)</t>
  </si>
  <si>
    <t>Yüzyüze/Uzak Eğitim Yükü</t>
  </si>
  <si>
    <t>Toplam
İş Yükü</t>
  </si>
  <si>
    <t>ECTS Kont</t>
  </si>
  <si>
    <t>ECTS fark</t>
  </si>
  <si>
    <t>Eğitim Dili</t>
  </si>
  <si>
    <t>Eğitim Türü</t>
  </si>
  <si>
    <t>Hazırlık</t>
  </si>
  <si>
    <t>NK_Girişi</t>
  </si>
  <si>
    <t>Sistem id orijinal</t>
  </si>
  <si>
    <t>S</t>
  </si>
  <si>
    <t>Çocuk Gelişimi</t>
  </si>
  <si>
    <t>t</t>
  </si>
  <si>
    <t>DKT204</t>
  </si>
  <si>
    <t>Dil ve Konuşma Terapisinde Klinik Değerlendirme</t>
  </si>
  <si>
    <t>Z</t>
  </si>
  <si>
    <t>Dil ve Konuşma Terapisi</t>
  </si>
  <si>
    <t>s</t>
  </si>
  <si>
    <t>GAS110</t>
  </si>
  <si>
    <t>Temel Mutfak Uygulamaları - II</t>
  </si>
  <si>
    <t>Gastronomi ve Mutfak Sanatları</t>
  </si>
  <si>
    <t>GAS304</t>
  </si>
  <si>
    <t>İleri Seviye Pastacılık</t>
  </si>
  <si>
    <t>IIS101</t>
  </si>
  <si>
    <t>İlkyardım ve İş Sağlığı ve Güvenliği</t>
  </si>
  <si>
    <t>Beslenme ve Diyetetik</t>
  </si>
  <si>
    <t>Klasik Mitoloji</t>
  </si>
  <si>
    <t>İngiliz Dili ve Edebiyatı</t>
  </si>
  <si>
    <t>GSS172</t>
  </si>
  <si>
    <t>Güzel Sanatlar - II</t>
  </si>
  <si>
    <t>Fizyoterapi ve Rehabilitasyon</t>
  </si>
  <si>
    <t>SYS122</t>
  </si>
  <si>
    <t>Sağlıklı Yaşam ve Egzersiz - II</t>
  </si>
  <si>
    <t>FRA104</t>
  </si>
  <si>
    <t>Fransızca - IV</t>
  </si>
  <si>
    <t>GAS364</t>
  </si>
  <si>
    <t>Ziyafet Organizasyonu ve Yönetimi</t>
  </si>
  <si>
    <t>FZY101</t>
  </si>
  <si>
    <t>Fizyoloji</t>
  </si>
  <si>
    <t>DKT104</t>
  </si>
  <si>
    <t>Dil ve Konuşmanın Nörolojik, Fizyolojik Temelleri</t>
  </si>
  <si>
    <t>GAS162</t>
  </si>
  <si>
    <t>Gıda Bilimi ve Teknolojisi</t>
  </si>
  <si>
    <t>GAS166</t>
  </si>
  <si>
    <t>İletişim Becerileri ve İmaj Yönetimi</t>
  </si>
  <si>
    <t>GAS202</t>
  </si>
  <si>
    <t>Dünya Mutfak Sanatları - II</t>
  </si>
  <si>
    <t>GAS204</t>
  </si>
  <si>
    <t>Türk Mutfak Sanatları - II</t>
  </si>
  <si>
    <t>ARS101</t>
  </si>
  <si>
    <t>Araştırma Yöntem ve Teknikleri</t>
  </si>
  <si>
    <t>BES162</t>
  </si>
  <si>
    <t>Organik Kimya</t>
  </si>
  <si>
    <t>BES202</t>
  </si>
  <si>
    <t>Beslenme Biyokimyası</t>
  </si>
  <si>
    <t>BES210</t>
  </si>
  <si>
    <t>Besin Mikrobiyolojisi</t>
  </si>
  <si>
    <t>BES212</t>
  </si>
  <si>
    <t>Besin Kimyası ve Analizleri</t>
  </si>
  <si>
    <t>BES262</t>
  </si>
  <si>
    <t>Besin Kontrolü ve Mevzuatı</t>
  </si>
  <si>
    <t>BES272</t>
  </si>
  <si>
    <t>Toplum Sağlığı ve Beslenmesi</t>
  </si>
  <si>
    <t>BES302</t>
  </si>
  <si>
    <t>Çocuk Hastalıklarında Beslenme</t>
  </si>
  <si>
    <t>BES304</t>
  </si>
  <si>
    <t>Toplumda Beslenme Sorunları ve Epidemiyoloji</t>
  </si>
  <si>
    <t>BES306</t>
  </si>
  <si>
    <t>Hastalıklarda Tıbbi Beslenme Tedavisi</t>
  </si>
  <si>
    <t>BES322</t>
  </si>
  <si>
    <t>Toplu Beslenme Sistemleri</t>
  </si>
  <si>
    <t>BES372</t>
  </si>
  <si>
    <t>Kanser ve Beslenme</t>
  </si>
  <si>
    <t>BES374</t>
  </si>
  <si>
    <t>Besin Destekleri</t>
  </si>
  <si>
    <t>BES376</t>
  </si>
  <si>
    <t>İşlevsel Besinler ve Sağlık</t>
  </si>
  <si>
    <t>MIS101</t>
  </si>
  <si>
    <t>Matematik ve İstatistik</t>
  </si>
  <si>
    <t>TAS162</t>
  </si>
  <si>
    <t>Türk Demokrasi Tarihi - II</t>
  </si>
  <si>
    <t>TDS162</t>
  </si>
  <si>
    <t>Türk Dili - Temel Mantık Bilgisi - II</t>
  </si>
  <si>
    <t>CGL162</t>
  </si>
  <si>
    <t>Gelişim Psikolojisi</t>
  </si>
  <si>
    <t>INK102</t>
  </si>
  <si>
    <t>İngilizce - II</t>
  </si>
  <si>
    <t>Havacılık Yönetimi</t>
  </si>
  <si>
    <t>TIK102</t>
  </si>
  <si>
    <t>DKT202</t>
  </si>
  <si>
    <t>Çocukluk Çağı Dil Bozuklukları</t>
  </si>
  <si>
    <t>DKT264</t>
  </si>
  <si>
    <t>Klinik Fonoloji</t>
  </si>
  <si>
    <t>Psikoloji</t>
  </si>
  <si>
    <t>TIK202</t>
  </si>
  <si>
    <t>İngilizce - IV</t>
  </si>
  <si>
    <t>ING106</t>
  </si>
  <si>
    <t>Siyaset Bilimi ve Kamu Yönetimi</t>
  </si>
  <si>
    <t>ZPS161</t>
  </si>
  <si>
    <t>Zaman ve Proje Yönetimi</t>
  </si>
  <si>
    <t>ANA104</t>
  </si>
  <si>
    <t>Anatomi - II</t>
  </si>
  <si>
    <t>BIK171</t>
  </si>
  <si>
    <t>Biyokimya</t>
  </si>
  <si>
    <t>FTR102</t>
  </si>
  <si>
    <t>Fizyoterapide Temel Ölçme ve Değerlendirme</t>
  </si>
  <si>
    <t>FTR212</t>
  </si>
  <si>
    <t>Temel Egzersiz Uygulamaları</t>
  </si>
  <si>
    <t>FTR218</t>
  </si>
  <si>
    <t>Elektroterapi - II</t>
  </si>
  <si>
    <t>Siyaset Bilimi ve Uluslararası İlişkiler</t>
  </si>
  <si>
    <t>FTR262</t>
  </si>
  <si>
    <t>Kinezyoloji ve Biyomekanik</t>
  </si>
  <si>
    <t>FTR264</t>
  </si>
  <si>
    <t>Fizyoterapide Dahili ve Cerrahi Bilimler</t>
  </si>
  <si>
    <t>FTR372</t>
  </si>
  <si>
    <t>İş Uğraşı Terapisi ve El Rehabilitasyonu</t>
  </si>
  <si>
    <t>FTR374</t>
  </si>
  <si>
    <t>Psikososyal Rehabilitasyon</t>
  </si>
  <si>
    <t>FTR376</t>
  </si>
  <si>
    <t>Yutma Bozukluklarında Rehabilitasyon</t>
  </si>
  <si>
    <t>FTR378</t>
  </si>
  <si>
    <t>Lenfödem ve Fizyoterapi</t>
  </si>
  <si>
    <t>FTR314</t>
  </si>
  <si>
    <t>Sporcu Sağlığı ve Rehabilitasyon</t>
  </si>
  <si>
    <t>FTR306</t>
  </si>
  <si>
    <t>Nörofizyolojik Yaklaşımlar - II</t>
  </si>
  <si>
    <t>FTR312</t>
  </si>
  <si>
    <t>Ortez ve Protez Rehabilitasyon</t>
  </si>
  <si>
    <t>GZE102</t>
  </si>
  <si>
    <t>Güzel ve Etkili Konuşma</t>
  </si>
  <si>
    <t>Türk Dili ve Edebiyatı</t>
  </si>
  <si>
    <t>UTI102</t>
  </si>
  <si>
    <t>Havacılık Elektrik ve Elektroniği</t>
  </si>
  <si>
    <t>Uçak Gövde ve Motor Bakımı</t>
  </si>
  <si>
    <t>FTR310</t>
  </si>
  <si>
    <t>Pediatrik Rehabilitasyon</t>
  </si>
  <si>
    <t>Diş Hekimliği</t>
  </si>
  <si>
    <t>SOS171</t>
  </si>
  <si>
    <t>Sosyoloji</t>
  </si>
  <si>
    <t>STA302</t>
  </si>
  <si>
    <t>Staj - II</t>
  </si>
  <si>
    <t>Staj</t>
  </si>
  <si>
    <t>GAS372</t>
  </si>
  <si>
    <t>Gastoronomide Yeni Yaklaşımlar ve Eğilimler</t>
  </si>
  <si>
    <t>GAS374</t>
  </si>
  <si>
    <t>Gıda Mevzuatı ve Kalite Yönetim Sistemleri</t>
  </si>
  <si>
    <t>INK202</t>
  </si>
  <si>
    <t>HAY102</t>
  </si>
  <si>
    <t>Temel İletişim Becerileri</t>
  </si>
  <si>
    <t>HAY104</t>
  </si>
  <si>
    <t>Havaalanı, Terminal ve Heliport İşletmeciliği</t>
  </si>
  <si>
    <t>Binicilik Eğitimi</t>
  </si>
  <si>
    <t>GTB102</t>
  </si>
  <si>
    <t>Genel Turizm Bilgisi</t>
  </si>
  <si>
    <t>İngiliz Edebiyatının Yerli Kaynakları</t>
  </si>
  <si>
    <t>IDE108</t>
  </si>
  <si>
    <t>İleri İngilizce Konuşma Becerileri</t>
  </si>
  <si>
    <t>Öykü İnceleme</t>
  </si>
  <si>
    <t>IDE204</t>
  </si>
  <si>
    <t>İngiliz Şiiri ve Düzyazısı - II</t>
  </si>
  <si>
    <t>İngiliz Tiyatrosu - II</t>
  </si>
  <si>
    <t>Günümüz İngiliz Toplumu</t>
  </si>
  <si>
    <t>IDE222</t>
  </si>
  <si>
    <t>Çeviri - II</t>
  </si>
  <si>
    <t>IDE224</t>
  </si>
  <si>
    <t>Çocuk Edebiyatı İncelemeleri</t>
  </si>
  <si>
    <t>Amerikan Kültür ve Edebiyat Tarihi - II</t>
  </si>
  <si>
    <t>Mütercim - Tercümanlık (ingilizce)</t>
  </si>
  <si>
    <t>IMT102</t>
  </si>
  <si>
    <t>Türk Mitolojisi</t>
  </si>
  <si>
    <t>IMT104</t>
  </si>
  <si>
    <t>Sözcük Bilgisi</t>
  </si>
  <si>
    <t>Bilim Tarihi ve Felsefesi</t>
  </si>
  <si>
    <t>PSI218</t>
  </si>
  <si>
    <t>Bilişsel Psikoloji - II</t>
  </si>
  <si>
    <t>PSI302</t>
  </si>
  <si>
    <t>Psikolojide Araştırma Yöntemleri</t>
  </si>
  <si>
    <t>PSI104</t>
  </si>
  <si>
    <t>Psikoloji - II</t>
  </si>
  <si>
    <t>PSI106</t>
  </si>
  <si>
    <t>PSI210</t>
  </si>
  <si>
    <t>Sosyal Psikoloji - II</t>
  </si>
  <si>
    <t>PSI216</t>
  </si>
  <si>
    <t>Eğitim Psikolojisi</t>
  </si>
  <si>
    <t>PSI262</t>
  </si>
  <si>
    <t>Gelişim Psikolojisi - II</t>
  </si>
  <si>
    <t>PSI362</t>
  </si>
  <si>
    <t>Psikopatoloji</t>
  </si>
  <si>
    <t>PSI304</t>
  </si>
  <si>
    <t>Psikolojik Testler</t>
  </si>
  <si>
    <t>PSI322</t>
  </si>
  <si>
    <t>PSI372</t>
  </si>
  <si>
    <t>Örgüt Psikolojisi</t>
  </si>
  <si>
    <t>PSI306</t>
  </si>
  <si>
    <t>Psikolojide İstatistik</t>
  </si>
  <si>
    <t>SBU162</t>
  </si>
  <si>
    <t>DUT162</t>
  </si>
  <si>
    <t>Dünya Tarihi</t>
  </si>
  <si>
    <t>EOS171</t>
  </si>
  <si>
    <t>Ekolojik Okuryazarlık ve Sürdürülebilirlik</t>
  </si>
  <si>
    <t>IHU102</t>
  </si>
  <si>
    <t>İdare Hukuku</t>
  </si>
  <si>
    <t>ING208</t>
  </si>
  <si>
    <t>SBK212</t>
  </si>
  <si>
    <t>Siyasal Antropoloji</t>
  </si>
  <si>
    <t>SBK214</t>
  </si>
  <si>
    <t>Siyaset Psikolojisi</t>
  </si>
  <si>
    <t>SBK262</t>
  </si>
  <si>
    <t>Siyasal Düşünceler Tarihi - II</t>
  </si>
  <si>
    <t>SBK302</t>
  </si>
  <si>
    <t>Türkiye’nin Toplumsal Yapısı</t>
  </si>
  <si>
    <t>SBK308</t>
  </si>
  <si>
    <t>Borçlar Hukuku</t>
  </si>
  <si>
    <t>SBK324</t>
  </si>
  <si>
    <t>Medeni Hukuk</t>
  </si>
  <si>
    <t>SBK362</t>
  </si>
  <si>
    <t>Kamusal Akıl Stüdyosu - II</t>
  </si>
  <si>
    <t>SBK304</t>
  </si>
  <si>
    <t>Yerel Yönetimler ve Kentsel Politikalar</t>
  </si>
  <si>
    <t>SBU164</t>
  </si>
  <si>
    <t>Toplumbilim</t>
  </si>
  <si>
    <t>SBU364</t>
  </si>
  <si>
    <t>Dış Politika Analizi</t>
  </si>
  <si>
    <t>SBK372</t>
  </si>
  <si>
    <t>SBU204</t>
  </si>
  <si>
    <t>Ortadoğu</t>
  </si>
  <si>
    <t>SBU206</t>
  </si>
  <si>
    <t>Siyasi Tarih - II</t>
  </si>
  <si>
    <t>SBU300</t>
  </si>
  <si>
    <t>Uluslararası Politika</t>
  </si>
  <si>
    <t>SBU306</t>
  </si>
  <si>
    <t>Angloküresi Dünyası</t>
  </si>
  <si>
    <t>SBU308</t>
  </si>
  <si>
    <t>Afrika</t>
  </si>
  <si>
    <t>SBU366</t>
  </si>
  <si>
    <t>Uluslararası Hukuk - II</t>
  </si>
  <si>
    <t>SBU166</t>
  </si>
  <si>
    <t>Beşeri Coğrafya</t>
  </si>
  <si>
    <t>TDE104</t>
  </si>
  <si>
    <t>Türkiye Türkçesi Grameri - II</t>
  </si>
  <si>
    <t>TDE106</t>
  </si>
  <si>
    <t>Sözlü ve Yazılı Anlatım</t>
  </si>
  <si>
    <t>TDE162</t>
  </si>
  <si>
    <t>Osmanlı Türkçesi - II</t>
  </si>
  <si>
    <t>TDE202</t>
  </si>
  <si>
    <t>Klasik Türk Edebiyatında Türler</t>
  </si>
  <si>
    <t>TDE204</t>
  </si>
  <si>
    <t>Edebiyat Tarihi ve Eleştirel Okuma (1950 - 1980)</t>
  </si>
  <si>
    <t>TDE206</t>
  </si>
  <si>
    <t>Türkiye Türkçesi Grameri - IV</t>
  </si>
  <si>
    <t>TDE222</t>
  </si>
  <si>
    <t>Mitoloji ve Efsane</t>
  </si>
  <si>
    <t>TDE262</t>
  </si>
  <si>
    <t>Dijital Dil ve Edebiyat</t>
  </si>
  <si>
    <t>TDE272</t>
  </si>
  <si>
    <t>Arapça - II</t>
  </si>
  <si>
    <t>TDE274</t>
  </si>
  <si>
    <t>Farsça - II</t>
  </si>
  <si>
    <t>UGM104</t>
  </si>
  <si>
    <t>Temel Elektronik</t>
  </si>
  <si>
    <t>UEE208</t>
  </si>
  <si>
    <t>Elektrik Makineleri</t>
  </si>
  <si>
    <t>Uçak Elektrik - Elektronik</t>
  </si>
  <si>
    <t>FZT164</t>
  </si>
  <si>
    <t>Fizik - II</t>
  </si>
  <si>
    <t>GST172</t>
  </si>
  <si>
    <t>UEE306</t>
  </si>
  <si>
    <t>Hava Aracı Temel Bakım Pratikleri - I</t>
  </si>
  <si>
    <t>UGM266</t>
  </si>
  <si>
    <t>Havacılık Mevzuatı - I</t>
  </si>
  <si>
    <t>UTI202</t>
  </si>
  <si>
    <t>İngilizce - V</t>
  </si>
  <si>
    <t>UTI302</t>
  </si>
  <si>
    <t>İngilizce - VIII</t>
  </si>
  <si>
    <t>UEE366</t>
  </si>
  <si>
    <t>İtki - II</t>
  </si>
  <si>
    <t>UGM262</t>
  </si>
  <si>
    <t>Makine Elemaları - II</t>
  </si>
  <si>
    <t>UEE206</t>
  </si>
  <si>
    <t>Mikroişlemciler - I</t>
  </si>
  <si>
    <t>SYT122</t>
  </si>
  <si>
    <t>UEE302</t>
  </si>
  <si>
    <t>Teknik Resim</t>
  </si>
  <si>
    <t>UGM264</t>
  </si>
  <si>
    <t>Temel Aerodinamik - II</t>
  </si>
  <si>
    <t>TDT162</t>
  </si>
  <si>
    <t>TAT162</t>
  </si>
  <si>
    <t>UEE304</t>
  </si>
  <si>
    <t>Uçak Bakım Teorisi - II</t>
  </si>
  <si>
    <t>UEE364</t>
  </si>
  <si>
    <t>Uçak Yapıları ve Sistemleri Teorisi - II</t>
  </si>
  <si>
    <t>UGM304</t>
  </si>
  <si>
    <t>Atölye Uygulamaları - II</t>
  </si>
  <si>
    <t>Uçak Gövde Motor Bakım</t>
  </si>
  <si>
    <t>HEE102</t>
  </si>
  <si>
    <t>Elektrik - II</t>
  </si>
  <si>
    <t>UGM364</t>
  </si>
  <si>
    <t>Gaz Türbinli Motorlar Teorisi - II</t>
  </si>
  <si>
    <t>UGM308</t>
  </si>
  <si>
    <t>UGM312</t>
  </si>
  <si>
    <t>Pervane Uygulamaları</t>
  </si>
  <si>
    <t>UGM206</t>
  </si>
  <si>
    <t>HEE104</t>
  </si>
  <si>
    <t>Temel Elektronik - I</t>
  </si>
  <si>
    <t>UGM302</t>
  </si>
  <si>
    <t>UGM362</t>
  </si>
  <si>
    <t>PSI324</t>
  </si>
  <si>
    <t>Önyargı ve Ayrımcılık</t>
  </si>
  <si>
    <t>DNS102</t>
  </si>
  <si>
    <t>Danışmanlık ve Kariyer Planlama</t>
  </si>
  <si>
    <t>DNT102</t>
  </si>
  <si>
    <t>DIS106</t>
  </si>
  <si>
    <t>DIS108</t>
  </si>
  <si>
    <t>Biyofizik</t>
  </si>
  <si>
    <t>Manipülasyon - II</t>
  </si>
  <si>
    <t>Fizyoloji - II</t>
  </si>
  <si>
    <t>HAY164</t>
  </si>
  <si>
    <t>Hava Taşımacılığı</t>
  </si>
  <si>
    <t>HAY162</t>
  </si>
  <si>
    <t>Hukukun Temel Kavramları</t>
  </si>
  <si>
    <t>STA301</t>
  </si>
  <si>
    <t>CGL304</t>
  </si>
  <si>
    <t>Sınıf Yönetimi</t>
  </si>
  <si>
    <t>IDE302</t>
  </si>
  <si>
    <t>İngiliz Romanı - II</t>
  </si>
  <si>
    <t>IDE304</t>
  </si>
  <si>
    <t>İngiliz Şiiri ve Düzyazısı - IV</t>
  </si>
  <si>
    <t>IDE308</t>
  </si>
  <si>
    <t>Edebiyat Kuram ve Eleştirisi - II</t>
  </si>
  <si>
    <t>IDE322</t>
  </si>
  <si>
    <t>Çeviri - IV</t>
  </si>
  <si>
    <t>IDE362</t>
  </si>
  <si>
    <t>İngiliz Tiyatrosu - III</t>
  </si>
  <si>
    <t>IDE372</t>
  </si>
  <si>
    <t>Kurgu Olmayan Edebi Anlatım Türleri</t>
  </si>
  <si>
    <t>IMT362</t>
  </si>
  <si>
    <t>Edebi Kavramlar ve Edebi Çeviri</t>
  </si>
  <si>
    <t>BIN102</t>
  </si>
  <si>
    <t>CIN172</t>
  </si>
  <si>
    <t>Çince - II</t>
  </si>
  <si>
    <t>IDE210</t>
  </si>
  <si>
    <t>IMT204</t>
  </si>
  <si>
    <t>Konuşmalardan Not Alma</t>
  </si>
  <si>
    <t>IMT206</t>
  </si>
  <si>
    <t>Duyduğunu Anlama ve Sözlü Anlatım - II</t>
  </si>
  <si>
    <t>IMT262</t>
  </si>
  <si>
    <t>Günümüz Türkiye Toplumu</t>
  </si>
  <si>
    <t>Dersin Kısa Adı</t>
  </si>
  <si>
    <t>Ders  Adı</t>
  </si>
  <si>
    <t>Dönem Adı</t>
  </si>
  <si>
    <t>Ders Kodu</t>
  </si>
  <si>
    <t>CGL210</t>
  </si>
  <si>
    <t>Oyun ve Oyun Materyalleri</t>
  </si>
  <si>
    <t>CGL216</t>
  </si>
  <si>
    <t>Okul Öncesinde Çocuk Gelişimi - II</t>
  </si>
  <si>
    <t>CGL306</t>
  </si>
  <si>
    <t>Duyu Eğitimi</t>
  </si>
  <si>
    <t>CGL322</t>
  </si>
  <si>
    <t>Oyun Terapisi</t>
  </si>
  <si>
    <t>CGL324</t>
  </si>
  <si>
    <t>Otizm Spektrum Bozukluğu</t>
  </si>
  <si>
    <t>CGL362</t>
  </si>
  <si>
    <t>Okul Öncesinde Okur Yazarlık Eğitimi</t>
  </si>
  <si>
    <t>CGL364</t>
  </si>
  <si>
    <t>Özel Eğitim Programları</t>
  </si>
  <si>
    <t>CGL218</t>
  </si>
  <si>
    <t>Eğitimde Araç ve Gereç Geliştirme</t>
  </si>
  <si>
    <t>CGL272</t>
  </si>
  <si>
    <t>Okul Öncesinde Montessori Eğitimi - I</t>
  </si>
  <si>
    <t>CGL274</t>
  </si>
  <si>
    <t>Çocuk İhmal / İstismarı ve Korunmaya Muhtaç Çocuklar</t>
  </si>
  <si>
    <t>CGL280</t>
  </si>
  <si>
    <t>Çocuk ve Müzik</t>
  </si>
  <si>
    <t>Psikolojide İstatistiğe Giriş</t>
  </si>
  <si>
    <t>a</t>
  </si>
  <si>
    <t>b</t>
  </si>
  <si>
    <t>c</t>
  </si>
  <si>
    <t>d</t>
  </si>
  <si>
    <t>Uygulama Saati İş yükü</t>
  </si>
  <si>
    <r>
      <t xml:space="preserve">Yüzyüze işlenmesi </t>
    </r>
    <r>
      <rPr>
        <b/>
        <u/>
        <sz val="11"/>
        <color theme="1"/>
        <rFont val="Calibri"/>
        <family val="2"/>
        <charset val="162"/>
        <scheme val="minor"/>
      </rPr>
      <t>zorunlu olan</t>
    </r>
    <r>
      <rPr>
        <b/>
        <sz val="11"/>
        <color theme="1"/>
        <rFont val="Calibri"/>
        <family val="2"/>
        <charset val="162"/>
        <scheme val="minor"/>
      </rPr>
      <t xml:space="preserve"> uygulama saati iş yükü</t>
    </r>
  </si>
  <si>
    <r>
      <t xml:space="preserve">Yüzyüze işlenmesi </t>
    </r>
    <r>
      <rPr>
        <b/>
        <u/>
        <sz val="11"/>
        <color theme="1"/>
        <rFont val="Calibri"/>
        <family val="2"/>
        <charset val="162"/>
        <scheme val="minor"/>
      </rPr>
      <t>zorunlu olmayan</t>
    </r>
    <r>
      <rPr>
        <b/>
        <sz val="11"/>
        <color theme="1"/>
        <rFont val="Calibri"/>
        <family val="2"/>
        <charset val="162"/>
        <scheme val="minor"/>
      </rPr>
      <t xml:space="preserve"> uygulama saati iş yükü</t>
    </r>
  </si>
  <si>
    <t>Yüzyüze işlenmesi zorunlu olmayan uygulama saati iş yükü yöntemi
(Proje/ Ödev)</t>
  </si>
  <si>
    <t>Yüzyüze işlenmesi zorunlu olmayan uygulama saati iş yükü yöntemi (Video)</t>
  </si>
  <si>
    <t>Yüzyüze işlenmesi zorunlu olmayan uygulama saati iş yükü yöntemi (Uygulamalı Ders Anlatımı)</t>
  </si>
  <si>
    <t>Yüzyüze işlenmesi zorunlu olmayan uygulama saati iş yükü yöntemi (Öğrenci Sunumu)</t>
  </si>
  <si>
    <t>Yüzyüze işlenmesi zorunlu olmayan uygulama saati iş yükü yöntemi (Varsa Başka Bir Öneri)</t>
  </si>
  <si>
    <t>Uygulama dersleri için  yardım (kamera çekimi, kurgu vb) gerekli mi?</t>
  </si>
  <si>
    <t>Dersi veren öğretim elamanı dersi nerden veriyor? (Mustafapaşa Stüdyo, Ankara Stüdyo ev vb.)</t>
  </si>
  <si>
    <t>Prgram/Bölüm Bşk. Açıklaması</t>
  </si>
  <si>
    <t>.</t>
  </si>
  <si>
    <t>..</t>
  </si>
  <si>
    <t>…</t>
  </si>
  <si>
    <t>….</t>
  </si>
  <si>
    <t>X</t>
  </si>
  <si>
    <t>Mustafapaşa Stüdyo</t>
  </si>
  <si>
    <t>Öğrenciler, konuşma becerilerini sergilemek üzere sistem üzerinden sunumlar gerçekleştirecektir.</t>
  </si>
  <si>
    <t>Güz ve Bahar döneminde Atölye Uygulamaları dersi Entegre Modüler Aviyonik Sistemler Dersi ile yer değiştirmiştir.</t>
  </si>
  <si>
    <t>Mustafapaşa Derslik</t>
  </si>
  <si>
    <t>TDE322</t>
  </si>
  <si>
    <t>Edebiyat ve İdeoloji</t>
  </si>
  <si>
    <t>IDE374</t>
  </si>
  <si>
    <t>Amerikan Şiiri</t>
  </si>
  <si>
    <t>UEE303</t>
  </si>
  <si>
    <t>Atölye Uygulamaları</t>
  </si>
  <si>
    <t>Ders Alan Sayısı</t>
  </si>
  <si>
    <t>Anatomi (Yıllık)</t>
  </si>
  <si>
    <t>DIS101</t>
  </si>
  <si>
    <t>DIS103</t>
  </si>
  <si>
    <t>Fizyoloji (Yıllık)</t>
  </si>
  <si>
    <t>DIS109</t>
  </si>
  <si>
    <t>Manipülasyon (Yıllık)</t>
  </si>
  <si>
    <t>BIG102</t>
  </si>
  <si>
    <t>Basic Course - II</t>
  </si>
  <si>
    <t>20-21/2</t>
  </si>
  <si>
    <t>Kota</t>
  </si>
  <si>
    <t>DKT203</t>
  </si>
  <si>
    <t>Fonetik ve Fonetik Laboratuvarı</t>
  </si>
  <si>
    <t xml:space="preserve">IDE212 </t>
  </si>
  <si>
    <t>IDE264</t>
  </si>
  <si>
    <t>IDE272</t>
  </si>
  <si>
    <t>Gözlem ve Görüşme Teknikleri</t>
  </si>
  <si>
    <t>ELC102</t>
  </si>
  <si>
    <t>Elemantary Course - II</t>
  </si>
  <si>
    <t>Elementary Course - II</t>
  </si>
  <si>
    <t>GAS119</t>
  </si>
  <si>
    <t>Temel Mutfak Uygulamaları - I</t>
  </si>
  <si>
    <t>GAS203</t>
  </si>
  <si>
    <t>Türk Mutfak Sanatları - I</t>
  </si>
  <si>
    <t>GAS201</t>
  </si>
  <si>
    <t>Dünya Mutfak Sanatları - I</t>
  </si>
  <si>
    <t>GAS301</t>
  </si>
  <si>
    <t>Dünya Mutfak Sanatları - III</t>
  </si>
  <si>
    <t>20-21/1</t>
  </si>
  <si>
    <t>GAS307</t>
  </si>
  <si>
    <t>Türk Mutfak Sanatları - III</t>
  </si>
  <si>
    <t>PSI326</t>
  </si>
  <si>
    <t>Psikoloji Tarihi</t>
  </si>
  <si>
    <t>IDE114</t>
  </si>
  <si>
    <t>IDE110</t>
  </si>
  <si>
    <t>Sözlü Sınav</t>
  </si>
  <si>
    <t>Proje  (Araştırma)</t>
  </si>
  <si>
    <t>Proje (Uygulama Videosu )</t>
  </si>
  <si>
    <t>Açık  Kaynaklı Sınav (Kamera kontrolü olan açık kaynakla klasik soru)</t>
  </si>
  <si>
    <t>Sistem Üzerinden - Eş Zamanlı Sınav (Kamera kontrolü olan eşleştirmeli, doğru-yanlış, boşluk doldurmalı, çoktan seçmeli soru)</t>
  </si>
  <si>
    <t>Sınavın Yapılacağı Tarih 1</t>
  </si>
  <si>
    <t>Sınav B-Başlangıç-Bitiş Saati 1</t>
  </si>
  <si>
    <t>Sınavın Yapılacağı Tarih 2</t>
  </si>
  <si>
    <t>Sınav B-Başlangıç-Bitiş Saati 2</t>
  </si>
  <si>
    <t>Sınavın Yapılacağı Tarih 3</t>
  </si>
  <si>
    <t>Sınav B-Başlangıç-Bitiş Saati 3</t>
  </si>
  <si>
    <t>Sınavın Yapılacağı Tarih 4</t>
  </si>
  <si>
    <t>Sınav B-Başlangıç-Bitiş Saati 4</t>
  </si>
  <si>
    <t>17:15-18:00</t>
  </si>
  <si>
    <t>15:20-16:10</t>
  </si>
  <si>
    <t>11:40-12:30</t>
  </si>
  <si>
    <t xml:space="preserve">Sistem 1 </t>
  </si>
  <si>
    <t>Dönem içi (%40)</t>
  </si>
  <si>
    <t>Dönem sonu(%60)</t>
  </si>
  <si>
    <t>Kuiz / Uygulama / Mülakat / Ödev</t>
  </si>
  <si>
    <t>Sınav / Uygulama / D. Ödevi / D. Projesi</t>
  </si>
  <si>
    <t>Sistem 2</t>
  </si>
  <si>
    <t xml:space="preserve">Proje / Vize </t>
  </si>
  <si>
    <t>Sistem 3</t>
  </si>
  <si>
    <t>Kuiz / Uygulama / Ödev</t>
  </si>
  <si>
    <t>Vize</t>
  </si>
  <si>
    <t>Sistem 4</t>
  </si>
  <si>
    <t>D. Ödevi / D. Projesi / Seminer / Vize</t>
  </si>
  <si>
    <t>Sistem 5</t>
  </si>
  <si>
    <t>Dönem içi (%0)</t>
  </si>
  <si>
    <t>Dönem sonu(%100)</t>
  </si>
  <si>
    <t>N/A (Ev çalışması var.)</t>
  </si>
  <si>
    <t>Sistem 6</t>
  </si>
  <si>
    <t>N/A (Ev çalışması yok.)</t>
  </si>
  <si>
    <t>Sistem 7 (Açıköğretim Dersleri)</t>
  </si>
  <si>
    <t>Dönem içi (%20)</t>
  </si>
  <si>
    <t>Dönem sonu (%80)</t>
  </si>
  <si>
    <t>Sınav</t>
  </si>
  <si>
    <t>Sistem 0</t>
  </si>
  <si>
    <t>N/A</t>
  </si>
  <si>
    <t>Performans değerlendirme</t>
  </si>
  <si>
    <t>10.00-10.45</t>
  </si>
  <si>
    <t>10.50-11.35</t>
  </si>
  <si>
    <t>09.55-10.40</t>
  </si>
  <si>
    <t>17.15-18.00</t>
  </si>
  <si>
    <t>TIN102</t>
  </si>
  <si>
    <t>ING104</t>
  </si>
  <si>
    <t>ING204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</si>
</sst>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\.m\.yyyy"/>
  </numFmts>
  <fonts count="1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i/>
      <sz val="9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2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DEEAF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1" fillId="7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0" fillId="0" borderId="0" xfId="0" applyNumberFormat="1"/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applyFill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12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 vertical="center" wrapText="1"/>
    </xf>
    <xf numFmtId="0" fontId="10" fillId="14" borderId="0" xfId="0" applyFont="1" applyFill="1" applyAlignment="1">
      <alignment horizontal="center" vertical="center" wrapText="1"/>
    </xf>
    <xf numFmtId="14" fontId="10" fillId="15" borderId="0" xfId="0" applyNumberFormat="1" applyFont="1" applyFill="1" applyAlignment="1">
      <alignment horizontal="center" vertical="center" wrapText="1"/>
    </xf>
    <xf numFmtId="20" fontId="10" fillId="15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64" fontId="10" fillId="15" borderId="0" xfId="0" applyNumberFormat="1" applyFont="1" applyFill="1" applyAlignment="1">
      <alignment horizontal="center" vertical="center" wrapText="1"/>
    </xf>
    <xf numFmtId="0" fontId="10" fillId="15" borderId="0" xfId="0" applyFont="1" applyFill="1" applyAlignment="1">
      <alignment horizontal="center" vertical="center" wrapText="1"/>
    </xf>
    <xf numFmtId="165" fontId="10" fillId="15" borderId="0" xfId="0" applyNumberFormat="1" applyFont="1" applyFill="1" applyAlignment="1">
      <alignment horizontal="center" vertical="center" wrapText="1"/>
    </xf>
    <xf numFmtId="0" fontId="11" fillId="14" borderId="0" xfId="0" applyFont="1" applyFill="1" applyAlignment="1">
      <alignment horizontal="center" vertical="center" wrapText="1"/>
    </xf>
    <xf numFmtId="14" fontId="11" fillId="15" borderId="0" xfId="0" applyNumberFormat="1" applyFont="1" applyFill="1" applyAlignment="1">
      <alignment horizontal="center" vertical="center" wrapText="1"/>
    </xf>
    <xf numFmtId="20" fontId="11" fillId="15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12" fillId="14" borderId="0" xfId="0" applyFont="1" applyFill="1" applyAlignment="1">
      <alignment horizontal="center" vertical="center" wrapText="1"/>
    </xf>
    <xf numFmtId="14" fontId="12" fillId="15" borderId="0" xfId="0" applyNumberFormat="1" applyFont="1" applyFill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20" fontId="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14" fontId="1" fillId="0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9" fontId="17" fillId="0" borderId="1" xfId="1" applyNumberFormat="1" applyFont="1" applyBorder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9" fontId="17" fillId="0" borderId="0" xfId="1" applyNumberFormat="1" applyFont="1" applyAlignment="1">
      <alignment vertical="center"/>
    </xf>
    <xf numFmtId="9" fontId="17" fillId="0" borderId="0" xfId="1" applyNumberFormat="1" applyFont="1" applyAlignment="1">
      <alignment horizontal="center" vertical="center" wrapText="1"/>
    </xf>
    <xf numFmtId="9" fontId="17" fillId="0" borderId="1" xfId="1" applyNumberFormat="1" applyFont="1" applyBorder="1" applyAlignment="1">
      <alignment horizontal="center" vertical="center"/>
    </xf>
    <xf numFmtId="9" fontId="17" fillId="0" borderId="1" xfId="1" applyNumberFormat="1" applyFont="1" applyBorder="1" applyAlignment="1">
      <alignment horizontal="center" vertical="center" wrapText="1"/>
    </xf>
    <xf numFmtId="9" fontId="17" fillId="0" borderId="0" xfId="1" applyNumberFormat="1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21" borderId="1" xfId="1" applyFont="1" applyFill="1" applyBorder="1" applyAlignment="1">
      <alignment horizontal="center" vertical="center"/>
    </xf>
    <xf numFmtId="0" fontId="16" fillId="20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9" fontId="17" fillId="0" borderId="1" xfId="1" applyNumberFormat="1" applyFont="1" applyBorder="1" applyAlignment="1">
      <alignment horizontal="center" vertical="center" wrapText="1"/>
    </xf>
    <xf numFmtId="0" fontId="16" fillId="18" borderId="5" xfId="1" applyFont="1" applyFill="1" applyBorder="1" applyAlignment="1">
      <alignment horizontal="center" vertical="center"/>
    </xf>
    <xf numFmtId="0" fontId="16" fillId="18" borderId="6" xfId="1" applyFont="1" applyFill="1" applyBorder="1" applyAlignment="1">
      <alignment horizontal="center" vertical="center"/>
    </xf>
    <xf numFmtId="0" fontId="16" fillId="18" borderId="7" xfId="1" applyFont="1" applyFill="1" applyBorder="1" applyAlignment="1">
      <alignment horizontal="center" vertical="center"/>
    </xf>
    <xf numFmtId="0" fontId="16" fillId="19" borderId="1" xfId="1" applyFont="1" applyFill="1" applyBorder="1" applyAlignment="1">
      <alignment horizontal="center" vertical="center"/>
    </xf>
    <xf numFmtId="0" fontId="16" fillId="9" borderId="1" xfId="1" applyFont="1" applyFill="1" applyBorder="1" applyAlignment="1">
      <alignment horizontal="center" vertical="center"/>
    </xf>
    <xf numFmtId="0" fontId="16" fillId="16" borderId="2" xfId="1" applyFont="1" applyFill="1" applyBorder="1" applyAlignment="1">
      <alignment horizontal="center" vertical="center"/>
    </xf>
    <xf numFmtId="0" fontId="16" fillId="16" borderId="3" xfId="1" applyFont="1" applyFill="1" applyBorder="1" applyAlignment="1">
      <alignment horizontal="center" vertical="center"/>
    </xf>
    <xf numFmtId="0" fontId="16" fillId="16" borderId="4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8" borderId="2" xfId="1" applyFont="1" applyFill="1" applyBorder="1" applyAlignment="1">
      <alignment horizontal="center" vertical="center"/>
    </xf>
    <xf numFmtId="0" fontId="16" fillId="8" borderId="3" xfId="1" applyFont="1" applyFill="1" applyBorder="1" applyAlignment="1">
      <alignment horizontal="center" vertical="center"/>
    </xf>
    <xf numFmtId="0" fontId="16" fillId="8" borderId="4" xfId="1" applyFont="1" applyFill="1" applyBorder="1" applyAlignment="1">
      <alignment horizontal="center" vertical="center"/>
    </xf>
    <xf numFmtId="0" fontId="16" fillId="17" borderId="5" xfId="1" applyFont="1" applyFill="1" applyBorder="1" applyAlignment="1">
      <alignment horizontal="center" vertical="center"/>
    </xf>
    <xf numFmtId="0" fontId="16" fillId="17" borderId="6" xfId="1" applyFont="1" applyFill="1" applyBorder="1" applyAlignment="1">
      <alignment horizontal="center" vertical="center"/>
    </xf>
    <xf numFmtId="0" fontId="16" fillId="17" borderId="7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03B7B1DC-1051-4D75-BF56-888FEA66C574}"/>
  </cellStyles>
  <dxfs count="2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Beslenme_ve_Diyetetik_&#199;er&#231;eve_2020-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Dil_ve_Konu&#351;ma_Terapisi_&#199;er&#231;eve_2020_2021%20bitirme%20projesi%20de&#287;i&#351;e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Dil_ve_Konu&#351;ma_Terapisi_&#199;er&#231;eve_2019_2020_G&#252;ncellenens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Fizyoterapi_ve_Rehabilitasyon_&#199;er&#231;eve_2020-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Fizyoterapi_ve_Rehabilitasyon_&#199;er&#231;eve_2019-2020_G&#252;ncellenens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M&#252;fredatlar/Fizyoterapi%20ve%20Rehabilitasyon/Fizyoterapi_ve_Rehabilitasyon_&#199;er&#231;eve_2019-2020_G&#252;ncellene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Gastronomi_ve_Mutfak_Sanatlar&#305;_&#199;er&#231;eve_2019-2020_G&#252;ncellene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Gastronomi_ve_Mutfak_Sanatlar&#305;_&#199;er&#231;eve_2020-2021_De&#287;i&#351;e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Gastronomi_ve_Mutfak_Sanatlar&#305;_&#199;er&#231;eve_2018-2019_G&#252;ncellenen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U&#231;ak_Elektrik_Elektronik_&#199;er&#231;eve_2020-2021_De&#287;i&#351;e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asa-11/Desktop/E&#287;itim%20Planlama/M&#252;fredat/De&#287;i&#351;en%20_M&#252;fredatlar/Beslenme_ve_Diyetetik_&#199;er&#231;eve_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Beslenme_ve_Diyetetik_&#199;er&#231;eve_2018-2019_G&#252;ncellenenso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&#304;ngiliz_Dili_ve_Edebiyat&#305;_Lisans%20&#199;er&#231;eve%20M&#252;fredat%20_2018_2019_G&#252;ncellenens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&#304;ngiliz_Dili_ve_Edebiyat&#305;_Lisans%20&#199;er&#231;eve%20M&#252;fredat%20_2019_2020_G&#252;ncellenenson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\yedekler\D\Belgelerim\&#214;&#287;renci%20&#304;&#351;leri\2018-2019\Lisans_M&#252;fredat_&#199;al&#305;&#351;mas&#305;\&#304;ktisadi%20ve%20&#304;dari%20Bilimler%20Fak&#252;ltesi\SBKY_&#199;er&#231;eve%20M&#252;fredat%202206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&#304;ngilizce_M&#252;tercim_Terc&#252;manl&#305;k_&#199;er&#231;eve_2019_2020_G&#252;ncellene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Psikoloji_&#199;er&#231;eve_2020-2021_De&#287;i&#351;e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Psikoloji_&#199;er&#231;eve_2018-2019_G&#252;ncellen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Siyaset_Bilimi_ve_Kamu_Y&#246;netimi_Lisans_&#199;er&#231;eve_2020-2021_De&#287;i&#351;e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Siyaset_Bilimi_ve_Kamu_Y&#246;netimi_Lisans_&#199;er&#231;eve_2018-2019_G&#252;ncellene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bp/yedekler/D/Belgelerim/&#214;&#287;renci%20&#304;&#351;leri/2019_2020/Lisans_E&#287;itim_Program&#305;_2019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bp/yedekler/D/Belgelerim/&#214;&#287;renci%20&#304;&#351;leri/2018-2019/Lisans_M&#252;fredat_L_Esmer/Beslenme_ve_Diyetetik_&#199;er&#231;eve_27_08_2018_%20ingilizce7ec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Beslenme_ve_Diyetetik_&#199;er&#231;eve_2019-2020_G&#252;ncellenenson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Siyaset_Bilimi_ve_Kamu_Y&#246;netimi_Lisans_&#199;er&#231;eve_2019-2020_G&#252;ncellene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Siyaset_Bilimi_ve_Uluslararas&#305;_&#304;li&#351;kiler_Lisans_&#199;er&#231;eve_2018-2019_G&#252;ncellenen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Siyaset_Bilimi_ve_Uluslararas&#305;_&#304;li&#351;kiler_Lisans_&#199;er&#231;eve_2020-2021_De&#287;i&#351;e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YO4/Desktop/E&#287;itim%20Programlar&#305;%20ve%20&#199;er&#231;eve%202019/&#231;er&#231;eve/&#231;er&#231;eve/Siyaset_Bilimi_ve_Kamu_Y&#246;netimi_Lisans_&#199;er&#231;eve_2019-2020_(De&#287;i&#351;iklik_Sonras&#305;)_1410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Siyaset_Bilimi_ve_Uluslararas&#305;_&#304;li&#351;kiler_Lisans_&#199;er&#231;eve_2019-2020_G&#252;ncellene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il/Desktop/&#199;er&#231;eve%20Programlar%202020%20-%202021/Lisans%20Programlar&#305;/&#304;ncelenen%20Programlar/Siyaset_Bilimi_ve_Kamu_Y&#246;netimi_Lisans_&#199;er&#231;eve_2019-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T&#252;rk_Dili_ve_Edebiyat&#305;_&#199;er&#231;eve_2019-2020_G&#252;ncellenen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T&#252;rk_Dili_ve_Edebiyat&#305;_&#199;er&#231;eve_2020-2021_De&#287;i&#351;e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U&#231;ak_Elektrik_Elektronik_&#199;er&#231;eve_2019-2020_G&#252;ncellenen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U&#231;ak_Elektrik_Elektronik_&#199;er&#231;eve_2018-2019_G&#252;ncellen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&#304;ngilizce_M&#252;tercim_Terc&#252;manl&#305;k_&#199;er&#231;eve_2020_2021_De&#287;i&#351;en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U&#231;ak_G&#246;vde_Motor_&#199;er&#231;eve_2018-2019_G&#252;ncellenen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U&#231;ak_G&#246;vde_Motor_&#199;er&#231;eve_2019-2020_G&#252;ncellenen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U&#231;ak_G&#246;vde_Motor_&#199;er&#231;eve_2020-2021_De&#287;i&#351;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Psikoloji_&#199;er&#231;eve_2019-2020_G&#252;ncellen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&#199;ocuk_Geli&#351;imi_(Lisans)_&#199;er&#231;eve_2018-2019_G&#252;ncellenens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&#199;ocuk_Geli&#351;imi_(Lisans)_&#199;er&#231;eve_2020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oNUN%20SONU%20M&#220;FREDATLAR/EXCELE%20AKTARMADAN%20&#214;NCE%20D&#214;NEM%20YIL%20VE%20SE&#199;MEL&#304;%20&#199;ALI&#350;MASI/&#199;ocuk_Geli&#351;imi_(Lisans)_&#199;er&#231;eve_2019_2020_G&#252;ncellenens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M&#252;fredatlar/&#199;ocuk%20Geli&#351;imi%20(Lisans)/&#199;ocuk_Geli&#351;imi_(Lisans)_&#199;er&#231;eve_2019_2020_G&#252;ncellen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Sayfa1"/>
      <sheetName val="ölçme_sistemleri"/>
    </sheetNames>
    <sheetDataSet>
      <sheetData sheetId="0" refreshError="1"/>
      <sheetData sheetId="1" refreshError="1"/>
      <sheetData sheetId="2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Sayfa1"/>
      <sheetName val="ölçme_sistemleri"/>
    </sheetNames>
    <sheetDataSet>
      <sheetData sheetId="0" refreshError="1"/>
      <sheetData sheetId="1" refreshError="1"/>
      <sheetData sheetId="2">
        <row r="1">
          <cell r="J1" t="str">
            <v>Dönem İçi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2"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7"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Sayfa1"/>
      <sheetName val="ölçme_sistemleri"/>
    </sheetNames>
    <sheetDataSet>
      <sheetData sheetId="0" refreshError="1"/>
      <sheetData sheetId="1" refreshError="1"/>
      <sheetData sheetId="2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Sayfa1"/>
      <sheetName val="ölçme_sistemleri"/>
    </sheetNames>
    <sheetDataSet>
      <sheetData sheetId="0" refreshError="1"/>
      <sheetData sheetId="1" refreshError="1"/>
      <sheetData sheetId="2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J1" t="str">
            <v>Dönem İçi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2"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7"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J1" t="str">
            <v>Dönem İçi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2"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7"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İSTESİ"/>
      <sheetName val="Sayfa2"/>
      <sheetName val="Sayfa3"/>
      <sheetName val="Sayf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3">
          <cell r="J13">
            <v>1</v>
          </cell>
          <cell r="K13">
            <v>2</v>
          </cell>
          <cell r="L1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/>
          <cell r="J1" t="str">
            <v>Dönem İçi</v>
          </cell>
          <cell r="K1"/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/>
          <cell r="J11"/>
          <cell r="K11"/>
        </row>
        <row r="12">
          <cell r="I12"/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/>
          <cell r="J15"/>
          <cell r="K15"/>
        </row>
        <row r="16">
          <cell r="I16"/>
          <cell r="J16"/>
          <cell r="K16"/>
        </row>
        <row r="17">
          <cell r="I17"/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/>
          <cell r="J20"/>
          <cell r="K20"/>
        </row>
        <row r="21">
          <cell r="I21"/>
          <cell r="J21"/>
          <cell r="K21"/>
        </row>
        <row r="22">
          <cell r="I22"/>
          <cell r="J22"/>
          <cell r="K22"/>
        </row>
        <row r="23">
          <cell r="I23"/>
          <cell r="J23"/>
          <cell r="K23"/>
        </row>
        <row r="24">
          <cell r="I24"/>
          <cell r="J24"/>
          <cell r="K24"/>
        </row>
        <row r="25">
          <cell r="I25"/>
          <cell r="J25"/>
          <cell r="K25"/>
        </row>
        <row r="26">
          <cell r="I26"/>
          <cell r="J26"/>
          <cell r="K26"/>
        </row>
        <row r="27">
          <cell r="I27"/>
          <cell r="J27"/>
          <cell r="K27"/>
        </row>
        <row r="28">
          <cell r="I28"/>
          <cell r="J28"/>
          <cell r="K28"/>
        </row>
        <row r="29">
          <cell r="I29"/>
          <cell r="J29"/>
          <cell r="K29"/>
        </row>
        <row r="30">
          <cell r="I30"/>
          <cell r="J30"/>
          <cell r="K30"/>
          <cell r="L30"/>
        </row>
        <row r="31">
          <cell r="I31"/>
          <cell r="J31"/>
          <cell r="K31"/>
          <cell r="L31"/>
        </row>
        <row r="32">
          <cell r="I32"/>
          <cell r="J32"/>
          <cell r="K32"/>
          <cell r="L32"/>
        </row>
        <row r="33">
          <cell r="I33"/>
          <cell r="J33"/>
          <cell r="K33"/>
          <cell r="L33"/>
        </row>
        <row r="34">
          <cell r="I34"/>
          <cell r="J34"/>
          <cell r="K34"/>
          <cell r="L34"/>
        </row>
        <row r="35">
          <cell r="I35"/>
          <cell r="J35"/>
          <cell r="K35"/>
          <cell r="L35"/>
        </row>
        <row r="36">
          <cell r="I36"/>
          <cell r="J36"/>
          <cell r="K36"/>
          <cell r="L36"/>
        </row>
        <row r="37">
          <cell r="I37"/>
          <cell r="J37"/>
          <cell r="K37"/>
          <cell r="L37"/>
        </row>
        <row r="38">
          <cell r="I38"/>
          <cell r="J38"/>
          <cell r="K38"/>
          <cell r="L38"/>
        </row>
        <row r="39">
          <cell r="I39"/>
          <cell r="J39"/>
          <cell r="K39"/>
          <cell r="L39"/>
        </row>
        <row r="40">
          <cell r="I40"/>
          <cell r="J40"/>
          <cell r="K40"/>
          <cell r="L40"/>
        </row>
        <row r="41">
          <cell r="I41"/>
          <cell r="J41"/>
          <cell r="K41"/>
          <cell r="L41"/>
        </row>
        <row r="42">
          <cell r="I42"/>
          <cell r="J42"/>
          <cell r="K42"/>
          <cell r="L42"/>
        </row>
        <row r="43">
          <cell r="I43" t="str">
            <v>Uygulama dersleri için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J1" t="str">
            <v>Dönem İçi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2"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7"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/>
          <cell r="J1" t="str">
            <v>Dönem İçi</v>
          </cell>
          <cell r="K1"/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/>
          <cell r="J11"/>
          <cell r="K11"/>
        </row>
        <row r="12">
          <cell r="I12"/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/>
          <cell r="J15"/>
          <cell r="K15"/>
        </row>
        <row r="16">
          <cell r="I16"/>
          <cell r="J16"/>
          <cell r="K16"/>
        </row>
        <row r="17">
          <cell r="I17"/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/>
          <cell r="J20"/>
          <cell r="K20"/>
        </row>
        <row r="21">
          <cell r="I21"/>
          <cell r="J21"/>
          <cell r="K21"/>
        </row>
        <row r="22">
          <cell r="I22"/>
          <cell r="J22"/>
          <cell r="K22"/>
        </row>
        <row r="23">
          <cell r="I23"/>
          <cell r="J23"/>
          <cell r="K23"/>
        </row>
        <row r="24">
          <cell r="I24"/>
          <cell r="J24"/>
          <cell r="K24"/>
        </row>
        <row r="25">
          <cell r="I25"/>
          <cell r="J25"/>
          <cell r="K25"/>
        </row>
        <row r="26">
          <cell r="I26"/>
          <cell r="J26"/>
          <cell r="K26"/>
        </row>
        <row r="27">
          <cell r="I27"/>
          <cell r="J27"/>
          <cell r="K27"/>
        </row>
        <row r="28">
          <cell r="I28"/>
          <cell r="J28"/>
          <cell r="K28"/>
        </row>
        <row r="29">
          <cell r="I29"/>
          <cell r="J29"/>
          <cell r="K29"/>
        </row>
        <row r="30">
          <cell r="I30"/>
          <cell r="J30"/>
          <cell r="K30"/>
          <cell r="L30"/>
        </row>
        <row r="31">
          <cell r="I31"/>
          <cell r="J31"/>
          <cell r="K31"/>
          <cell r="L31"/>
        </row>
        <row r="32">
          <cell r="I32"/>
          <cell r="J32"/>
          <cell r="K32"/>
          <cell r="L32"/>
        </row>
        <row r="33">
          <cell r="I33"/>
          <cell r="J33"/>
          <cell r="K33"/>
          <cell r="L33"/>
        </row>
        <row r="34">
          <cell r="I34"/>
          <cell r="J34"/>
          <cell r="K34"/>
          <cell r="L34"/>
        </row>
        <row r="35">
          <cell r="I35"/>
          <cell r="J35"/>
          <cell r="K35"/>
          <cell r="L35"/>
        </row>
        <row r="36">
          <cell r="I36"/>
          <cell r="J36"/>
          <cell r="K36"/>
          <cell r="L36"/>
        </row>
        <row r="37">
          <cell r="I37"/>
          <cell r="J37"/>
          <cell r="K37"/>
          <cell r="L37"/>
        </row>
        <row r="38">
          <cell r="I38"/>
          <cell r="J38"/>
          <cell r="K38"/>
          <cell r="L38"/>
        </row>
        <row r="39">
          <cell r="I39"/>
          <cell r="J39"/>
          <cell r="K39"/>
          <cell r="L39"/>
        </row>
        <row r="40">
          <cell r="I40"/>
          <cell r="J40"/>
          <cell r="K40"/>
          <cell r="L40"/>
        </row>
        <row r="41">
          <cell r="I41"/>
          <cell r="J41"/>
          <cell r="K41"/>
          <cell r="L41"/>
        </row>
        <row r="42">
          <cell r="I42"/>
          <cell r="J42"/>
          <cell r="K42"/>
          <cell r="L42"/>
        </row>
        <row r="43">
          <cell r="I43" t="str">
            <v>Uygulama dersleri için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  <sheetName val="Sayfa1"/>
    </sheetNames>
    <sheetDataSet>
      <sheetData sheetId="0" refreshError="1"/>
      <sheetData sheetId="1" refreshError="1">
        <row r="1">
          <cell r="I1"/>
          <cell r="J1" t="str">
            <v>Dönem İçi</v>
          </cell>
          <cell r="K1"/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/>
          <cell r="J11"/>
          <cell r="K11"/>
        </row>
        <row r="12">
          <cell r="I12"/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/>
          <cell r="J15"/>
          <cell r="K15"/>
        </row>
        <row r="16">
          <cell r="I16"/>
          <cell r="J16"/>
          <cell r="K16"/>
        </row>
        <row r="17">
          <cell r="I17"/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/>
          <cell r="J20"/>
          <cell r="K20"/>
        </row>
        <row r="21">
          <cell r="I21"/>
          <cell r="J21"/>
          <cell r="K21"/>
        </row>
        <row r="22">
          <cell r="I22"/>
          <cell r="J22"/>
          <cell r="K22"/>
        </row>
        <row r="23">
          <cell r="I23"/>
          <cell r="J23"/>
          <cell r="K23"/>
        </row>
        <row r="24">
          <cell r="I24"/>
          <cell r="J24"/>
          <cell r="K24"/>
        </row>
        <row r="25">
          <cell r="I25"/>
          <cell r="J25"/>
          <cell r="K25"/>
        </row>
        <row r="26">
          <cell r="I26"/>
          <cell r="J26"/>
          <cell r="K26"/>
        </row>
        <row r="27">
          <cell r="I27"/>
          <cell r="J27"/>
          <cell r="K27"/>
        </row>
        <row r="28">
          <cell r="I28"/>
          <cell r="J28"/>
          <cell r="K28"/>
        </row>
        <row r="29">
          <cell r="I29"/>
          <cell r="J29"/>
          <cell r="K29"/>
        </row>
        <row r="30">
          <cell r="I30"/>
          <cell r="J30"/>
          <cell r="K30"/>
          <cell r="L30"/>
        </row>
        <row r="31">
          <cell r="I31"/>
          <cell r="J31"/>
          <cell r="K31"/>
          <cell r="L31"/>
        </row>
        <row r="32">
          <cell r="I32"/>
          <cell r="J32"/>
          <cell r="K32"/>
          <cell r="L32"/>
        </row>
        <row r="33">
          <cell r="I33"/>
          <cell r="J33"/>
          <cell r="K33"/>
          <cell r="L33"/>
        </row>
        <row r="34">
          <cell r="I34"/>
          <cell r="J34"/>
          <cell r="K34"/>
          <cell r="L34"/>
        </row>
        <row r="35">
          <cell r="I35"/>
          <cell r="J35"/>
          <cell r="K35"/>
          <cell r="L35"/>
        </row>
        <row r="36">
          <cell r="I36"/>
          <cell r="J36"/>
          <cell r="K36"/>
          <cell r="L36"/>
        </row>
        <row r="37">
          <cell r="I37"/>
          <cell r="J37"/>
          <cell r="K37"/>
          <cell r="L37"/>
        </row>
        <row r="38">
          <cell r="I38"/>
          <cell r="J38"/>
          <cell r="K38"/>
          <cell r="L38"/>
        </row>
        <row r="39">
          <cell r="I39"/>
          <cell r="J39"/>
          <cell r="K39"/>
          <cell r="L39"/>
        </row>
        <row r="40">
          <cell r="I40"/>
          <cell r="J40"/>
          <cell r="K40"/>
          <cell r="L40"/>
        </row>
        <row r="41">
          <cell r="I41"/>
          <cell r="J41"/>
          <cell r="K41"/>
          <cell r="L41"/>
        </row>
        <row r="42">
          <cell r="I42"/>
          <cell r="J42"/>
          <cell r="K42"/>
          <cell r="L42"/>
        </row>
        <row r="43">
          <cell r="I43" t="str">
            <v>Uygulama dersleri için</v>
          </cell>
        </row>
      </sheetData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J1" t="str">
            <v>Dönem İçi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2"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7"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Sayfa1"/>
      <sheetName val="ölçme_sistemleri"/>
    </sheetNames>
    <sheetDataSet>
      <sheetData sheetId="0" refreshError="1"/>
      <sheetData sheetId="1" refreshError="1"/>
      <sheetData sheetId="2" refreshError="1">
        <row r="1">
          <cell r="I1"/>
          <cell r="J1" t="str">
            <v>Dönem İçi</v>
          </cell>
          <cell r="K1"/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/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/>
          <cell r="J11"/>
          <cell r="K11"/>
        </row>
        <row r="12">
          <cell r="I12"/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/>
          <cell r="J15"/>
          <cell r="K15"/>
        </row>
        <row r="16">
          <cell r="I16"/>
          <cell r="J16"/>
          <cell r="K16"/>
        </row>
        <row r="17">
          <cell r="I17"/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/>
          <cell r="J20"/>
          <cell r="K20"/>
        </row>
        <row r="21">
          <cell r="I21"/>
          <cell r="J21"/>
          <cell r="K21"/>
        </row>
        <row r="22">
          <cell r="I22"/>
          <cell r="J22"/>
          <cell r="K22"/>
        </row>
        <row r="23">
          <cell r="I23"/>
          <cell r="J23"/>
          <cell r="K23"/>
        </row>
        <row r="24">
          <cell r="I24"/>
          <cell r="J24"/>
          <cell r="K24"/>
        </row>
        <row r="25">
          <cell r="I25"/>
          <cell r="J25"/>
          <cell r="K25"/>
        </row>
        <row r="26">
          <cell r="I26"/>
          <cell r="J26"/>
          <cell r="K26"/>
        </row>
        <row r="27">
          <cell r="I27"/>
          <cell r="J27"/>
          <cell r="K27"/>
        </row>
        <row r="28">
          <cell r="I28"/>
          <cell r="J28"/>
          <cell r="K28"/>
        </row>
        <row r="29">
          <cell r="I29"/>
          <cell r="J29"/>
          <cell r="K29"/>
        </row>
        <row r="30">
          <cell r="I30"/>
          <cell r="J30"/>
          <cell r="K30"/>
          <cell r="L30"/>
        </row>
        <row r="31">
          <cell r="I31"/>
          <cell r="J31"/>
          <cell r="K31"/>
          <cell r="L31"/>
        </row>
        <row r="32">
          <cell r="I32"/>
          <cell r="J32"/>
          <cell r="K32"/>
          <cell r="L32"/>
        </row>
        <row r="33">
          <cell r="I33"/>
          <cell r="J33"/>
          <cell r="K33"/>
          <cell r="L33"/>
        </row>
        <row r="34">
          <cell r="I34"/>
          <cell r="J34"/>
          <cell r="K34"/>
          <cell r="L34"/>
        </row>
        <row r="35">
          <cell r="I35"/>
          <cell r="J35"/>
          <cell r="K35"/>
          <cell r="L35"/>
        </row>
        <row r="36">
          <cell r="I36"/>
          <cell r="J36"/>
          <cell r="K36"/>
          <cell r="L36"/>
        </row>
        <row r="37">
          <cell r="I37"/>
          <cell r="J37"/>
          <cell r="K37"/>
          <cell r="L37"/>
        </row>
        <row r="38">
          <cell r="I38"/>
          <cell r="J38"/>
          <cell r="K38"/>
          <cell r="L38"/>
        </row>
        <row r="39">
          <cell r="I39"/>
          <cell r="J39"/>
          <cell r="K39"/>
          <cell r="L39"/>
        </row>
        <row r="40">
          <cell r="I40"/>
          <cell r="J40"/>
          <cell r="K40"/>
          <cell r="L40"/>
        </row>
        <row r="41">
          <cell r="I41"/>
          <cell r="J41"/>
          <cell r="K41"/>
          <cell r="L41"/>
        </row>
        <row r="42">
          <cell r="I42"/>
          <cell r="J42"/>
          <cell r="K42"/>
          <cell r="L42"/>
        </row>
        <row r="43">
          <cell r="I43" t="str">
            <v>Uygulama dersleri için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ölçme_sistemleri"/>
    </sheetNames>
    <sheetDataSet>
      <sheetData sheetId="0" refreshError="1"/>
      <sheetData sheetId="1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Sayfa1"/>
      <sheetName val="ölçme_sistemleri"/>
    </sheetNames>
    <sheetDataSet>
      <sheetData sheetId="0" refreshError="1"/>
      <sheetData sheetId="1" refreshError="1"/>
      <sheetData sheetId="2" refreshError="1">
        <row r="1">
          <cell r="I1">
            <v>0</v>
          </cell>
          <cell r="J1" t="str">
            <v>Dönem İçi</v>
          </cell>
          <cell r="K1">
            <v>0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</row>
        <row r="17">
          <cell r="I17">
            <v>0</v>
          </cell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I43" t="str">
            <v>Uygulama dersleri için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ceve_müfredat_AKTS"/>
      <sheetName val="Sayfa1"/>
      <sheetName val="ölçme_sistemleri"/>
    </sheetNames>
    <sheetDataSet>
      <sheetData sheetId="0" refreshError="1"/>
      <sheetData sheetId="1" refreshError="1"/>
      <sheetData sheetId="2" refreshError="1">
        <row r="1">
          <cell r="J1" t="str">
            <v>Dönem İçi</v>
          </cell>
          <cell r="L1" t="str">
            <v>Dönem Sonu</v>
          </cell>
        </row>
        <row r="2">
          <cell r="I2" t="str">
            <v>Sistem</v>
          </cell>
          <cell r="J2" t="str">
            <v>Kısa Sınav Sayısı</v>
          </cell>
          <cell r="K2" t="str">
            <v>Vize/Proje/D. Ödevi Sayısı</v>
          </cell>
          <cell r="L2" t="str">
            <v>Final</v>
          </cell>
          <cell r="M2" t="str">
            <v>Dönem İçi Toplam Sınav Sayısı</v>
          </cell>
          <cell r="N2" t="str">
            <v>Dönem İçi+Sonu Toplam Sınav Sayısı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2">
          <cell r="J12" t="str">
            <v>Kısa Sınav Ç. Saati</v>
          </cell>
          <cell r="K12" t="str">
            <v>Vize/Proje/D. Ödevi Ç. Saati</v>
          </cell>
          <cell r="L12" t="str">
            <v>Final Çalışma Saati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7">
          <cell r="J17" t="str">
            <v>Ev Çalışma Hafta Sayısı</v>
          </cell>
          <cell r="K17" t="str">
            <v>Hafta Sayısı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  <row r="43">
          <cell r="I43" t="str">
            <v>Uygulama dersleri için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CA59-EBB6-41A4-BF57-31E29F5A9C8F}">
  <sheetPr filterMode="1"/>
  <dimension ref="A1:CZ629"/>
  <sheetViews>
    <sheetView tabSelected="1" zoomScale="96" zoomScaleNormal="96" workbookViewId="0">
      <pane ySplit="1" topLeftCell="A2" activePane="bottomLeft" state="frozen"/>
      <selection activeCell="AU1" sqref="AU1"/>
      <selection pane="bottomLeft" activeCell="CP89" sqref="CP89"/>
    </sheetView>
  </sheetViews>
  <sheetFormatPr defaultRowHeight="15" x14ac:dyDescent="0.25"/>
  <cols>
    <col min="1" max="1" width="8.5703125" style="1" bestFit="1" customWidth="1"/>
    <col min="2" max="2" width="18.28515625" style="1" customWidth="1"/>
    <col min="3" max="3" width="4.42578125" style="1" hidden="1" customWidth="1"/>
    <col min="4" max="5" width="5.28515625" style="2" hidden="1" customWidth="1"/>
    <col min="6" max="6" width="9.140625" style="3" hidden="1" customWidth="1"/>
    <col min="7" max="7" width="5.42578125" style="3" hidden="1" customWidth="1"/>
    <col min="8" max="8" width="4.85546875" style="3" hidden="1" customWidth="1"/>
    <col min="9" max="9" width="32.140625" style="1" customWidth="1"/>
    <col min="10" max="10" width="4.42578125" style="1" hidden="1" customWidth="1"/>
    <col min="11" max="11" width="3.85546875" style="1" hidden="1" customWidth="1"/>
    <col min="12" max="12" width="7.140625" style="2" hidden="1" customWidth="1"/>
    <col min="13" max="13" width="3.5703125" style="1" hidden="1" customWidth="1"/>
    <col min="14" max="14" width="0.140625" style="2" customWidth="1"/>
    <col min="15" max="15" width="1.5703125" style="2" hidden="1" customWidth="1"/>
    <col min="16" max="19" width="3.140625" style="2" hidden="1" customWidth="1"/>
    <col min="20" max="20" width="4.140625" style="1" hidden="1" customWidth="1"/>
    <col min="21" max="21" width="2.7109375" style="1" hidden="1" customWidth="1"/>
    <col min="22" max="23" width="9.140625" style="1" hidden="1" customWidth="1"/>
    <col min="24" max="24" width="5.42578125" style="3" hidden="1" customWidth="1"/>
    <col min="25" max="80" width="9.140625" style="1" hidden="1" customWidth="1"/>
    <col min="81" max="81" width="9.85546875" style="1" hidden="1" customWidth="1"/>
    <col min="82" max="82" width="9.140625" style="1" hidden="1" customWidth="1"/>
    <col min="83" max="87" width="4.7109375" style="1" hidden="1" customWidth="1"/>
    <col min="88" max="88" width="9.140625" style="1" hidden="1" customWidth="1"/>
    <col min="89" max="89" width="0" style="1" hidden="1" customWidth="1"/>
    <col min="90" max="90" width="4.140625" style="1" customWidth="1"/>
    <col min="91" max="91" width="6.42578125" style="1" customWidth="1"/>
    <col min="92" max="92" width="5.42578125" style="1" customWidth="1"/>
    <col min="93" max="93" width="5.140625" style="1" customWidth="1"/>
    <col min="94" max="94" width="15.85546875" style="1" customWidth="1"/>
    <col min="95" max="95" width="10.85546875" style="2" customWidth="1"/>
    <col min="96" max="96" width="12.5703125" style="2" customWidth="1"/>
    <col min="97" max="98" width="10.85546875" style="2" customWidth="1"/>
    <col min="99" max="99" width="10.140625" style="2" customWidth="1"/>
    <col min="100" max="102" width="10.85546875" style="2" hidden="1" customWidth="1"/>
    <col min="103" max="16384" width="9.140625" style="1"/>
  </cols>
  <sheetData>
    <row r="1" spans="1:103" s="4" customFormat="1" ht="93" customHeight="1" x14ac:dyDescent="0.25">
      <c r="A1" s="4" t="s">
        <v>399</v>
      </c>
      <c r="B1" s="4" t="s">
        <v>397</v>
      </c>
      <c r="C1" s="4" t="s">
        <v>396</v>
      </c>
      <c r="D1" s="5" t="s">
        <v>0</v>
      </c>
      <c r="E1" s="5" t="s">
        <v>1</v>
      </c>
      <c r="F1" s="5" t="s">
        <v>398</v>
      </c>
      <c r="G1" s="5" t="s">
        <v>463</v>
      </c>
      <c r="H1" s="5" t="s">
        <v>453</v>
      </c>
      <c r="I1" s="4" t="s">
        <v>2</v>
      </c>
      <c r="J1" s="4" t="s">
        <v>3</v>
      </c>
      <c r="K1" s="4" t="s">
        <v>4</v>
      </c>
      <c r="L1" s="5" t="s">
        <v>5</v>
      </c>
      <c r="M1" s="4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4" t="s">
        <v>13</v>
      </c>
      <c r="U1" s="4" t="s">
        <v>14</v>
      </c>
      <c r="V1" s="4" t="s">
        <v>15</v>
      </c>
      <c r="W1" s="4" t="s">
        <v>16</v>
      </c>
      <c r="X1" s="5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22</v>
      </c>
      <c r="AG1" s="4" t="s">
        <v>25</v>
      </c>
      <c r="AH1" s="4" t="s">
        <v>26</v>
      </c>
      <c r="AI1" s="4" t="s">
        <v>27</v>
      </c>
      <c r="AJ1" s="4" t="s">
        <v>28</v>
      </c>
      <c r="AK1" s="4" t="s">
        <v>29</v>
      </c>
      <c r="AL1" s="4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7</v>
      </c>
      <c r="AU1" s="4" t="s">
        <v>38</v>
      </c>
      <c r="AV1" s="4" t="s">
        <v>39</v>
      </c>
      <c r="AW1" s="4" t="s">
        <v>40</v>
      </c>
      <c r="AX1" s="4" t="s">
        <v>41</v>
      </c>
      <c r="AY1" s="4" t="s">
        <v>42</v>
      </c>
      <c r="AZ1" s="4" t="s">
        <v>43</v>
      </c>
      <c r="BA1" s="4" t="s">
        <v>44</v>
      </c>
      <c r="BB1" s="4" t="s">
        <v>45</v>
      </c>
      <c r="BC1" s="4" t="s">
        <v>46</v>
      </c>
      <c r="BD1" s="4" t="s">
        <v>47</v>
      </c>
      <c r="BE1" s="4" t="s">
        <v>48</v>
      </c>
      <c r="BF1" s="4" t="s">
        <v>49</v>
      </c>
      <c r="BG1" s="4" t="s">
        <v>50</v>
      </c>
      <c r="BH1" s="4" t="s">
        <v>7</v>
      </c>
      <c r="BI1" s="4" t="s">
        <v>51</v>
      </c>
      <c r="BJ1" s="4" t="s">
        <v>52</v>
      </c>
      <c r="BK1" s="4" t="s">
        <v>53</v>
      </c>
      <c r="BL1" s="4" t="s">
        <v>54</v>
      </c>
      <c r="BM1" s="4" t="s">
        <v>55</v>
      </c>
      <c r="BN1" s="4" t="s">
        <v>56</v>
      </c>
      <c r="BO1" s="4" t="s">
        <v>57</v>
      </c>
      <c r="BP1" s="4" t="s">
        <v>423</v>
      </c>
      <c r="BQ1" s="4" t="s">
        <v>424</v>
      </c>
      <c r="BR1" s="4" t="s">
        <v>425</v>
      </c>
      <c r="BS1" s="4" t="s">
        <v>426</v>
      </c>
      <c r="BT1" s="8" t="s">
        <v>427</v>
      </c>
      <c r="BU1" s="9" t="s">
        <v>428</v>
      </c>
      <c r="BV1" s="10" t="s">
        <v>429</v>
      </c>
      <c r="BW1" s="11" t="s">
        <v>430</v>
      </c>
      <c r="BX1" s="11" t="s">
        <v>431</v>
      </c>
      <c r="BY1" s="11" t="s">
        <v>432</v>
      </c>
      <c r="BZ1" s="11" t="s">
        <v>433</v>
      </c>
      <c r="CA1" s="11" t="s">
        <v>434</v>
      </c>
      <c r="CB1" s="12" t="s">
        <v>435</v>
      </c>
      <c r="CC1" s="13" t="s">
        <v>436</v>
      </c>
      <c r="CD1" s="14" t="s">
        <v>437</v>
      </c>
      <c r="CE1" s="4" t="s">
        <v>438</v>
      </c>
      <c r="CF1" s="4" t="s">
        <v>439</v>
      </c>
      <c r="CG1" s="4" t="s">
        <v>440</v>
      </c>
      <c r="CH1" s="4" t="s">
        <v>441</v>
      </c>
      <c r="CI1" s="4" t="s">
        <v>441</v>
      </c>
      <c r="CL1" s="11" t="s">
        <v>488</v>
      </c>
      <c r="CM1" s="11" t="s">
        <v>489</v>
      </c>
      <c r="CN1" s="11" t="s">
        <v>490</v>
      </c>
      <c r="CO1" s="11" t="s">
        <v>491</v>
      </c>
      <c r="CP1" s="109" t="s">
        <v>492</v>
      </c>
      <c r="CQ1" s="110" t="s">
        <v>493</v>
      </c>
      <c r="CR1" s="110" t="s">
        <v>494</v>
      </c>
      <c r="CS1" s="46" t="s">
        <v>495</v>
      </c>
      <c r="CT1" s="46" t="s">
        <v>496</v>
      </c>
      <c r="CU1" s="46" t="s">
        <v>497</v>
      </c>
      <c r="CV1" s="46" t="s">
        <v>498</v>
      </c>
      <c r="CW1" s="46" t="s">
        <v>499</v>
      </c>
      <c r="CX1" s="46" t="s">
        <v>500</v>
      </c>
      <c r="CY1" s="47" t="s">
        <v>440</v>
      </c>
    </row>
    <row r="2" spans="1:103" hidden="1" x14ac:dyDescent="0.25">
      <c r="A2" s="1" t="s">
        <v>97</v>
      </c>
      <c r="B2" s="1" t="s">
        <v>98</v>
      </c>
      <c r="C2" s="1" t="s">
        <v>98</v>
      </c>
      <c r="D2" s="2" t="s">
        <v>63</v>
      </c>
      <c r="E2" s="2" t="s">
        <v>63</v>
      </c>
      <c r="F2" s="3" t="e">
        <f>IF(BE2="S",
IF(#REF!+BM2=2018,
IF(#REF!=1,"18-19/1",
IF(#REF!=2,"18-19/2",
IF(#REF!=3,"19-20/1",
IF(#REF!=4,"19-20/2",
IF(#REF!=5,"20-21/1",
IF(#REF!=6,"20-21/2",
IF(#REF!=7,"21-22/1",
IF(#REF!=8,"21-22/2","Hata1")))))))),
IF(#REF!+BM2=2019,
IF(#REF!=1,"19-20/1",
IF(#REF!=2,"19-20/2",
IF(#REF!=3,"20-21/1",
IF(#REF!=4,"20-21/2",
IF(#REF!=5,"21-22/1",
IF(#REF!=6,"21-22/2",
IF(#REF!=7,"22-23/1",
IF(#REF!=8,"22-23/2","Hata2")))))))),
IF(#REF!+BM2=2020,
IF(#REF!=1,"20-21/1",
IF(#REF!=2,"20-21/2",
IF(#REF!=3,"21-22/1",
IF(#REF!=4,"21-22/2",
IF(#REF!=5,"22-23/1",
IF(#REF!=6,"22-23/2",
IF(#REF!=7,"23-24/1",
IF(#REF!=8,"23-24/2","Hata3")))))))),
IF(#REF!+BM2=2021,
IF(#REF!=1,"21-22/1",
IF(#REF!=2,"21-22/2",
IF(#REF!=3,"22-23/1",
IF(#REF!=4,"22-23/2",
IF(#REF!=5,"23-24/1",
IF(#REF!=6,"23-24/2",
IF(#REF!=7,"24-25/1",
IF(#REF!=8,"24-25/2","Hata4")))))))),
IF(#REF!+BM2=2022,
IF(#REF!=1,"22-23/1",
IF(#REF!=2,"22-23/2",
IF(#REF!=3,"23-24/1",
IF(#REF!=4,"23-24/2",
IF(#REF!=5,"24-25/1",
IF(#REF!=6,"24-25/2",
IF(#REF!=7,"25-26/1",
IF(#REF!=8,"25-26/2","Hata5")))))))),
IF(#REF!+BM2=2023,
IF(#REF!=1,"23-24/1",
IF(#REF!=2,"23-24/2",
IF(#REF!=3,"24-25/1",
IF(#REF!=4,"24-25/2",
IF(#REF!=5,"25-26/1",
IF(#REF!=6,"25-26/2",
IF(#REF!=7,"26-27/1",
IF(#REF!=8,"26-27/2","Hata6")))))))),
)))))),
IF(BE2="T",
IF(#REF!+BM2=2018,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" s="1" t="s">
        <v>73</v>
      </c>
      <c r="J2" s="1">
        <v>4234782</v>
      </c>
      <c r="L2" s="2">
        <v>196</v>
      </c>
      <c r="N2" s="2">
        <v>4</v>
      </c>
      <c r="O2" s="2">
        <f t="shared" ref="O2:O61" si="0">(S2)+(R2/2)+(Q2)</f>
        <v>3</v>
      </c>
      <c r="P2" s="2">
        <f t="shared" ref="P2:P61" si="1">Q2+R2+S2</f>
        <v>3</v>
      </c>
      <c r="Q2" s="2">
        <v>3</v>
      </c>
      <c r="R2" s="2">
        <v>0</v>
      </c>
      <c r="S2" s="2">
        <v>0</v>
      </c>
      <c r="X2" s="3">
        <v>2</v>
      </c>
      <c r="Y2" s="1">
        <f>VLOOKUP(X2,[1]ölçme_sistemleri!I:L,2,FALSE)</f>
        <v>0</v>
      </c>
      <c r="Z2" s="1">
        <f>VLOOKUP(X2,[1]ölçme_sistemleri!I:L,3,FALSE)</f>
        <v>2</v>
      </c>
      <c r="AA2" s="1">
        <f>VLOOKUP(X2,[1]ölçme_sistemleri!I:L,4,FALSE)</f>
        <v>1</v>
      </c>
      <c r="AB2" s="1">
        <f>$O2*[1]ölçme_sistemleri!$J$13</f>
        <v>3</v>
      </c>
      <c r="AC2" s="1">
        <f>$O2*[1]ölçme_sistemleri!$K$13</f>
        <v>6</v>
      </c>
      <c r="AD2" s="1">
        <f>$O2*[1]ölçme_sistemleri!$L$13</f>
        <v>9</v>
      </c>
      <c r="AE2" s="1">
        <f t="shared" ref="AE2:AE61" si="2">Y2*AB2</f>
        <v>0</v>
      </c>
      <c r="AF2" s="1">
        <f t="shared" ref="AF2:AF61" si="3">Z2*AC2</f>
        <v>12</v>
      </c>
      <c r="AG2" s="1">
        <f t="shared" ref="AG2:AG61" si="4">AA2*AD2</f>
        <v>9</v>
      </c>
      <c r="AH2" s="1">
        <f t="shared" ref="AH2:AH61" si="5">SUM(AE2:AG2)</f>
        <v>21</v>
      </c>
      <c r="AI2" s="1">
        <v>14</v>
      </c>
      <c r="AJ2" s="1">
        <f>VLOOKUP(X2,[1]ölçme_sistemleri!I:M,5,FALSE)</f>
        <v>2</v>
      </c>
      <c r="AK2" s="1">
        <f t="shared" ref="AK2:AK61" si="6">SUM(AE2,AF2,AG2)*AI2</f>
        <v>294</v>
      </c>
      <c r="AL2" s="1">
        <f>(Q2+S2)*AI2</f>
        <v>42</v>
      </c>
      <c r="AM2" s="1">
        <f>VLOOKUP(X2,[1]ölçme_sistemleri!I:N,6,FALSE)</f>
        <v>3</v>
      </c>
      <c r="AN2" s="1">
        <v>2</v>
      </c>
      <c r="AO2" s="1">
        <f t="shared" ref="AO2:AO61" si="7">AM2*AN2</f>
        <v>6</v>
      </c>
      <c r="AP2" s="1">
        <v>14</v>
      </c>
      <c r="AQ2" s="1">
        <f t="shared" ref="AQ2:AQ65" si="8">AP2*P2</f>
        <v>42</v>
      </c>
      <c r="AR2" s="1">
        <f t="shared" ref="AR2:AR61" si="9">AQ2+AO2+AL2+AE2+AF2+AG2</f>
        <v>111</v>
      </c>
      <c r="AS2" s="1">
        <f t="shared" ref="AS2:AS8" si="10">IF(BE2="s",25,30)</f>
        <v>25</v>
      </c>
      <c r="AT2" s="1">
        <f t="shared" ref="AT2:AT61" si="11">ROUND(AR2/AS2,0)</f>
        <v>4</v>
      </c>
      <c r="AU2" s="1">
        <f t="shared" ref="AU2:AU65" si="12">ROUND(AT2-N2,0)</f>
        <v>0</v>
      </c>
      <c r="AV2" s="1">
        <f t="shared" ref="AV2:AV33" si="13">IF(BE2="s",IF(W2=0,0,
IF(W2=1,N2*4*4,
IF(W2=2,0,
IF(W2=3,N2*4*2,
IF(W2=4,0,
IF(W2=5,0,
IF(W2=6,0,
IF(W2=7,0)))))))),
IF(BE2="t",
IF(W2=0,0,
IF(W2=1,N2*4*4*0.8,
IF(W2=2,0,
IF(W2=3,N2*4*2*0.8,
IF(W2=4,0,
IF(W2=5,0,
IF(W2=6,0,
IF(W2=7,0))))))))))</f>
        <v>0</v>
      </c>
      <c r="AW2" s="1">
        <f t="shared" ref="AW2:AW33" si="14">IF(BE2="s",
IF(W2=0,0,
IF(W2=1,0,
IF(W2=2,N2*4*2,
IF(W2=3,N2*4,
IF(W2=4,N2*4,
IF(W2=5,0,
IF(W2=6,0,
IF(W2=7,N2*4)))))))),
IF(BE2="t",
IF(W2=0,0,
IF(W2=1,0,
IF(W2=2,N2*4*2*0.8,
IF(W2=3,N2*4*0.8,
IF(W2=4,N2*4*0.8,
IF(W2=5,0,
IF(W2=6,0,
IF(W2=7,N2*4))))))))))</f>
        <v>0</v>
      </c>
      <c r="AX2" s="1">
        <f t="shared" ref="AX2:AX33" si="15">IF(BE2="s",
IF(W2=0,0,
IF(W2=1,N2*2,
IF(W2=2,N2*2,
IF(W2=3,N2*2,
IF(W2=4,N2*2,
IF(W2=5,N2*2,
IF(W2=6,N2*2,
IF(W2=7,N2*2)))))))),
IF(BE2="t",
IF(W2=0,O2*2*0.8,
IF(W2=1,N2*2*0.8,
IF(W2=2,N2*2*0.8,
IF(W2=3,N2*2*0.8,
IF(W2=4,N2*2*0.8,
IF(W2=5,N2*2*0.8,
IF(W2=6,N2*1*0.8,
IF(W2=7,N2*2))))))))))</f>
        <v>0</v>
      </c>
      <c r="AY2" s="1">
        <f t="shared" ref="AY2:AY61" si="16">SUM(AV2:AX2)-SUM(AD2:AF2)</f>
        <v>-21</v>
      </c>
      <c r="AZ2" s="1">
        <f t="shared" ref="AZ2:AZ33" si="17">IF(BE2="s",
IF(W2=0,0,
IF(W2=1,(14-2)*(P2+R2)/4*4,
IF(W2=2,(14-2)*(P2+R2)/4*2,
IF(W2=3,(14-2)*(P2+R2)/4*3,
IF(W2=4,(14-2)*(P2+R2)/4,
IF(W2=5,(14-2)*N2/4,
IF(W2=6,0,
IF(W2=7,(14)*R2)))))))),
IF(BE2="t",
IF(W2=0,0,
IF(W2=1,(11-2)*(P2+R2)/4*4,
IF(W2=2,(11-2)*(P2+R2)/4*2,
IF(W2=3,(11-2)*(P2+R2)/4*3,
IF(W2=4,(11-2)*(P2+R2)/4,
IF(W2=5,(11-2)*N2/4,
IF(W2=6,0,
IF(W2=7,(11)*N2))))))))))</f>
        <v>0</v>
      </c>
      <c r="BA2" s="1">
        <f t="shared" ref="BA2:BA61" si="18">AZ2-AL2</f>
        <v>-42</v>
      </c>
      <c r="BB2" s="1">
        <f t="shared" ref="BB2:BB31" si="19">IF(BE2="s",
IF(W2=0,0,
IF(W2=1,4*5,
IF(W2=2,4*3,
IF(W2=3,4*4,
IF(W2=4,4*2,
IF(W2=5,4,
IF(W2=6,4/2,
IF(W2=7,4*2,)))))))),
IF(BE2="t",
IF(W2=0,0,
IF(W2=1,4*5,
IF(W2=2,4*3,
IF(W2=3,4*4,
IF(W2=4,4*2,
IF(W2=5,4,
IF(W2=6,4/2,
IF(W2=7,4*2))))))))))</f>
        <v>0</v>
      </c>
      <c r="BC2" s="1">
        <f t="shared" ref="BC2:BC61" si="20">BB2-AO2</f>
        <v>-6</v>
      </c>
      <c r="BD2" s="1">
        <f t="shared" ref="BD2:BD61" si="21">AV2+AW2+AX2+(IF(BK2=1,(AZ2)*2,AZ2))+BB2</f>
        <v>0</v>
      </c>
      <c r="BE2" s="1" t="s">
        <v>65</v>
      </c>
      <c r="BF2" s="1">
        <f t="shared" ref="BF2:BF33" si="22">IF(BL2="A",0,IF(BE2="s",14*O2,IF(BE2="T",11*O2,"HATA")))</f>
        <v>42</v>
      </c>
      <c r="BG2" s="1">
        <f t="shared" ref="BG2:BG31" si="23">IF(BL2="Z",(BF2+BD2)*1.15,(BF2+BD2))</f>
        <v>42</v>
      </c>
      <c r="BH2" s="1">
        <f t="shared" ref="BH2:BH61" si="24">IF(BE2="s",ROUND(BG2/30,0),IF(BE2="T",ROUND(BG2/25,0),"HATA"))</f>
        <v>1</v>
      </c>
      <c r="BI2" s="1" t="e">
        <f>IF(BH2-#REF!=0,"DOĞRU","YANLIŞ")</f>
        <v>#REF!</v>
      </c>
      <c r="BJ2" s="1" t="e">
        <f>#REF!-BH2</f>
        <v>#REF!</v>
      </c>
      <c r="BK2" s="1">
        <v>0</v>
      </c>
      <c r="BM2" s="1">
        <v>0</v>
      </c>
      <c r="BO2" s="1">
        <v>2</v>
      </c>
      <c r="BT2" s="8">
        <f t="shared" ref="BT2:BT33" si="25">R2*14</f>
        <v>0</v>
      </c>
      <c r="BU2" s="9"/>
      <c r="BV2" s="10"/>
      <c r="BW2" s="11"/>
      <c r="BX2" s="11"/>
      <c r="BY2" s="11"/>
      <c r="BZ2" s="11"/>
      <c r="CA2" s="11"/>
      <c r="CB2" s="12"/>
      <c r="CC2" s="13"/>
      <c r="CD2" s="14"/>
      <c r="CL2" s="11"/>
      <c r="CM2" s="11"/>
      <c r="CN2" s="11"/>
      <c r="CO2" s="11"/>
      <c r="CP2" s="11"/>
      <c r="CQ2" s="46"/>
      <c r="CR2" s="46"/>
      <c r="CS2" s="48"/>
      <c r="CT2" s="48"/>
      <c r="CU2" s="48"/>
      <c r="CV2" s="48"/>
      <c r="CW2" s="49"/>
      <c r="CX2" s="49"/>
    </row>
    <row r="3" spans="1:103" hidden="1" x14ac:dyDescent="0.25">
      <c r="A3" s="1" t="s">
        <v>121</v>
      </c>
      <c r="B3" s="42" t="s">
        <v>122</v>
      </c>
      <c r="C3" s="1" t="s">
        <v>122</v>
      </c>
      <c r="D3" s="2" t="s">
        <v>58</v>
      </c>
      <c r="E3" s="2" t="s">
        <v>58</v>
      </c>
      <c r="F3" s="3" t="e">
        <f>IF(BE3="S",
IF(#REF!+BM3=2018,
IF(#REF!=1,"18-19/1",
IF(#REF!=2,"18-19/2",
IF(#REF!=3,"19-20/1",
IF(#REF!=4,"19-20/2",
IF(#REF!=5,"20-21/1",
IF(#REF!=6,"20-21/2",
IF(#REF!=7,"21-22/1",
IF(#REF!=8,"21-22/2","Hata1")))))))),
IF(#REF!+BM3=2019,
IF(#REF!=1,"19-20/1",
IF(#REF!=2,"19-20/2",
IF(#REF!=3,"20-21/1",
IF(#REF!=4,"20-21/2",
IF(#REF!=5,"21-22/1",
IF(#REF!=6,"21-22/2",
IF(#REF!=7,"22-23/1",
IF(#REF!=8,"22-23/2","Hata2")))))))),
IF(#REF!+BM3=2020,
IF(#REF!=1,"20-21/1",
IF(#REF!=2,"20-21/2",
IF(#REF!=3,"21-22/1",
IF(#REF!=4,"21-22/2",
IF(#REF!=5,"22-23/1",
IF(#REF!=6,"22-23/2",
IF(#REF!=7,"23-24/1",
IF(#REF!=8,"23-24/2","Hata3")))))))),
IF(#REF!+BM3=2021,
IF(#REF!=1,"21-22/1",
IF(#REF!=2,"21-22/2",
IF(#REF!=3,"22-23/1",
IF(#REF!=4,"22-23/2",
IF(#REF!=5,"23-24/1",
IF(#REF!=6,"23-24/2",
IF(#REF!=7,"24-25/1",
IF(#REF!=8,"24-25/2","Hata4")))))))),
IF(#REF!+BM3=2022,
IF(#REF!=1,"22-23/1",
IF(#REF!=2,"22-23/2",
IF(#REF!=3,"23-24/1",
IF(#REF!=4,"23-24/2",
IF(#REF!=5,"24-25/1",
IF(#REF!=6,"24-25/2",
IF(#REF!=7,"25-26/1",
IF(#REF!=8,"25-26/2","Hata5")))))))),
IF(#REF!+BM3=2023,
IF(#REF!=1,"23-24/1",
IF(#REF!=2,"23-24/2",
IF(#REF!=3,"24-25/1",
IF(#REF!=4,"24-25/2",
IF(#REF!=5,"25-26/1",
IF(#REF!=6,"25-26/2",
IF(#REF!=7,"26-27/1",
IF(#REF!=8,"26-27/2","Hata6")))))))),
)))))),
IF(BE3="T",
IF(#REF!+BM3=2018,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3" s="3">
        <v>0</v>
      </c>
      <c r="I3" s="1" t="s">
        <v>73</v>
      </c>
      <c r="J3" s="1">
        <v>4234782</v>
      </c>
      <c r="L3" s="2">
        <v>322</v>
      </c>
      <c r="N3" s="2">
        <v>4</v>
      </c>
      <c r="O3" s="2">
        <f t="shared" si="0"/>
        <v>2</v>
      </c>
      <c r="P3" s="2">
        <f t="shared" si="1"/>
        <v>2</v>
      </c>
      <c r="Q3" s="2">
        <v>0</v>
      </c>
      <c r="R3" s="2">
        <v>0</v>
      </c>
      <c r="S3" s="2">
        <v>2</v>
      </c>
      <c r="X3" s="3">
        <v>2</v>
      </c>
      <c r="Y3" s="1">
        <f>VLOOKUP(X3,[2]ölçme_sistemleri!I:L,2,FALSE)</f>
        <v>0</v>
      </c>
      <c r="Z3" s="1">
        <f>VLOOKUP(X3,[2]ölçme_sistemleri!I:L,3,FALSE)</f>
        <v>2</v>
      </c>
      <c r="AA3" s="1">
        <f>VLOOKUP(X3,[2]ölçme_sistemleri!I:L,4,FALSE)</f>
        <v>1</v>
      </c>
      <c r="AB3" s="1">
        <f>$O3*[2]ölçme_sistemleri!$J$13</f>
        <v>2</v>
      </c>
      <c r="AC3" s="1">
        <f>$O3*[2]ölçme_sistemleri!$K$13</f>
        <v>4</v>
      </c>
      <c r="AD3" s="1">
        <f>$O3*[2]ölçme_sistemleri!$L$13</f>
        <v>6</v>
      </c>
      <c r="AE3" s="1">
        <f t="shared" si="2"/>
        <v>0</v>
      </c>
      <c r="AF3" s="1">
        <f t="shared" si="3"/>
        <v>8</v>
      </c>
      <c r="AG3" s="1">
        <f t="shared" si="4"/>
        <v>6</v>
      </c>
      <c r="AH3" s="1">
        <f t="shared" si="5"/>
        <v>14</v>
      </c>
      <c r="AI3" s="1">
        <v>14</v>
      </c>
      <c r="AJ3" s="1">
        <f>VLOOKUP(X3,[2]ölçme_sistemleri!I:M,5,FALSE)</f>
        <v>2</v>
      </c>
      <c r="AK3" s="1">
        <f t="shared" si="6"/>
        <v>196</v>
      </c>
      <c r="AL3" s="1">
        <f>AI3*4</f>
        <v>56</v>
      </c>
      <c r="AM3" s="1">
        <f>VLOOKUP(X3,[2]ölçme_sistemleri!I:N,6,FALSE)</f>
        <v>3</v>
      </c>
      <c r="AN3" s="1">
        <v>2</v>
      </c>
      <c r="AO3" s="1">
        <f t="shared" si="7"/>
        <v>6</v>
      </c>
      <c r="AP3" s="1">
        <v>14</v>
      </c>
      <c r="AQ3" s="1">
        <f t="shared" si="8"/>
        <v>28</v>
      </c>
      <c r="AR3" s="1">
        <f t="shared" si="9"/>
        <v>104</v>
      </c>
      <c r="AS3" s="1">
        <f t="shared" si="10"/>
        <v>25</v>
      </c>
      <c r="AT3" s="1">
        <f t="shared" si="11"/>
        <v>4</v>
      </c>
      <c r="AU3" s="1">
        <f t="shared" si="12"/>
        <v>0</v>
      </c>
      <c r="AV3" s="1">
        <f t="shared" si="13"/>
        <v>0</v>
      </c>
      <c r="AW3" s="1">
        <f t="shared" si="14"/>
        <v>0</v>
      </c>
      <c r="AX3" s="1">
        <f t="shared" si="15"/>
        <v>0</v>
      </c>
      <c r="AY3" s="1">
        <f t="shared" si="16"/>
        <v>-14</v>
      </c>
      <c r="AZ3" s="1">
        <f t="shared" si="17"/>
        <v>0</v>
      </c>
      <c r="BA3" s="1">
        <f t="shared" si="18"/>
        <v>-56</v>
      </c>
      <c r="BB3" s="1">
        <f t="shared" si="19"/>
        <v>0</v>
      </c>
      <c r="BC3" s="1">
        <f t="shared" si="20"/>
        <v>-6</v>
      </c>
      <c r="BD3" s="1">
        <f t="shared" si="21"/>
        <v>0</v>
      </c>
      <c r="BE3" s="1" t="s">
        <v>65</v>
      </c>
      <c r="BF3" s="1">
        <f t="shared" si="22"/>
        <v>28</v>
      </c>
      <c r="BG3" s="1">
        <f t="shared" si="23"/>
        <v>28</v>
      </c>
      <c r="BH3" s="1">
        <f t="shared" si="24"/>
        <v>1</v>
      </c>
      <c r="BI3" s="1" t="e">
        <f>IF(BH3-#REF!=0,"DOĞRU","YANLIŞ")</f>
        <v>#REF!</v>
      </c>
      <c r="BJ3" s="1" t="e">
        <f>#REF!-BH3</f>
        <v>#REF!</v>
      </c>
      <c r="BK3" s="1">
        <v>0</v>
      </c>
      <c r="BM3" s="1">
        <v>0</v>
      </c>
      <c r="BO3" s="1">
        <v>4</v>
      </c>
      <c r="BT3" s="8">
        <f t="shared" si="25"/>
        <v>0</v>
      </c>
      <c r="BU3" s="9"/>
      <c r="BV3" s="10"/>
      <c r="BW3" s="11"/>
      <c r="BX3" s="11"/>
      <c r="BY3" s="11"/>
      <c r="BZ3" s="11"/>
      <c r="CA3" s="11"/>
      <c r="CB3" s="12"/>
      <c r="CC3" s="13"/>
      <c r="CD3" s="14"/>
      <c r="CL3" s="50"/>
      <c r="CM3" s="50"/>
      <c r="CN3" s="50"/>
      <c r="CO3" s="50"/>
      <c r="CP3" s="50"/>
      <c r="CQ3" s="51"/>
      <c r="CR3" s="52"/>
      <c r="CS3" s="49"/>
      <c r="CT3" s="49"/>
      <c r="CU3" s="53"/>
      <c r="CV3" s="53"/>
      <c r="CW3" s="49"/>
      <c r="CX3" s="49"/>
    </row>
    <row r="4" spans="1:103" hidden="1" x14ac:dyDescent="0.25">
      <c r="A4" s="1" t="s">
        <v>105</v>
      </c>
      <c r="B4" s="1" t="s">
        <v>106</v>
      </c>
      <c r="C4" s="1" t="s">
        <v>106</v>
      </c>
      <c r="D4" s="2" t="s">
        <v>63</v>
      </c>
      <c r="E4" s="2" t="s">
        <v>63</v>
      </c>
      <c r="F4" s="3" t="e">
        <f>IF(BE4="S",
IF(#REF!+BM4=2018,
IF(#REF!=1,"18-19/1",
IF(#REF!=2,"18-19/2",
IF(#REF!=3,"19-20/1",
IF(#REF!=4,"19-20/2",
IF(#REF!=5,"20-21/1",
IF(#REF!=6,"20-21/2",
IF(#REF!=7,"21-22/1",
IF(#REF!=8,"21-22/2","Hata1")))))))),
IF(#REF!+BM4=2019,
IF(#REF!=1,"19-20/1",
IF(#REF!=2,"19-20/2",
IF(#REF!=3,"20-21/1",
IF(#REF!=4,"20-21/2",
IF(#REF!=5,"21-22/1",
IF(#REF!=6,"21-22/2",
IF(#REF!=7,"22-23/1",
IF(#REF!=8,"22-23/2","Hata2")))))))),
IF(#REF!+BM4=2020,
IF(#REF!=1,"20-21/1",
IF(#REF!=2,"20-21/2",
IF(#REF!=3,"21-22/1",
IF(#REF!=4,"21-22/2",
IF(#REF!=5,"22-23/1",
IF(#REF!=6,"22-23/2",
IF(#REF!=7,"23-24/1",
IF(#REF!=8,"23-24/2","Hata3")))))))),
IF(#REF!+BM4=2021,
IF(#REF!=1,"21-22/1",
IF(#REF!=2,"21-22/2",
IF(#REF!=3,"22-23/1",
IF(#REF!=4,"22-23/2",
IF(#REF!=5,"23-24/1",
IF(#REF!=6,"23-24/2",
IF(#REF!=7,"24-25/1",
IF(#REF!=8,"24-25/2","Hata4")))))))),
IF(#REF!+BM4=2022,
IF(#REF!=1,"22-23/1",
IF(#REF!=2,"22-23/2",
IF(#REF!=3,"23-24/1",
IF(#REF!=4,"23-24/2",
IF(#REF!=5,"24-25/1",
IF(#REF!=6,"24-25/2",
IF(#REF!=7,"25-26/1",
IF(#REF!=8,"25-26/2","Hata5")))))))),
IF(#REF!+BM4=2023,
IF(#REF!=1,"23-24/1",
IF(#REF!=2,"23-24/2",
IF(#REF!=3,"24-25/1",
IF(#REF!=4,"24-25/2",
IF(#REF!=5,"25-26/1",
IF(#REF!=6,"25-26/2",
IF(#REF!=7,"26-27/1",
IF(#REF!=8,"26-27/2","Hata6")))))))),
)))))),
IF(BE4="T",
IF(#REF!+BM4=2018,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" s="1" t="s">
        <v>73</v>
      </c>
      <c r="J4" s="1">
        <v>4234782</v>
      </c>
      <c r="L4" s="2">
        <v>325</v>
      </c>
      <c r="N4" s="2">
        <v>5</v>
      </c>
      <c r="O4" s="2">
        <f t="shared" si="0"/>
        <v>4</v>
      </c>
      <c r="P4" s="2">
        <f t="shared" si="1"/>
        <v>5</v>
      </c>
      <c r="Q4" s="2">
        <v>3</v>
      </c>
      <c r="R4" s="2">
        <v>2</v>
      </c>
      <c r="S4" s="2">
        <v>0</v>
      </c>
      <c r="X4" s="3">
        <v>4</v>
      </c>
      <c r="Y4" s="1">
        <f>VLOOKUP(X4,[3]ölçme_sistemleri!I:L,2,FALSE)</f>
        <v>0</v>
      </c>
      <c r="Z4" s="1">
        <f>VLOOKUP(X4,[3]ölçme_sistemleri!I:L,3,FALSE)</f>
        <v>1</v>
      </c>
      <c r="AA4" s="1">
        <f>VLOOKUP(X4,[3]ölçme_sistemleri!I:L,4,FALSE)</f>
        <v>1</v>
      </c>
      <c r="AB4" s="1">
        <f>$O4*[3]ölçme_sistemleri!$J$13</f>
        <v>4</v>
      </c>
      <c r="AC4" s="1">
        <f>$O4*[3]ölçme_sistemleri!$K$13</f>
        <v>8</v>
      </c>
      <c r="AD4" s="1">
        <f>$O4*[3]ölçme_sistemleri!$L$13</f>
        <v>12</v>
      </c>
      <c r="AE4" s="1">
        <f t="shared" si="2"/>
        <v>0</v>
      </c>
      <c r="AF4" s="1">
        <f t="shared" si="3"/>
        <v>8</v>
      </c>
      <c r="AG4" s="1">
        <f t="shared" si="4"/>
        <v>12</v>
      </c>
      <c r="AH4" s="1">
        <f t="shared" si="5"/>
        <v>20</v>
      </c>
      <c r="AI4" s="1">
        <v>14</v>
      </c>
      <c r="AJ4" s="1">
        <f>VLOOKUP(X4,[3]ölçme_sistemleri!I:M,5,FALSE)</f>
        <v>1</v>
      </c>
      <c r="AK4" s="1">
        <f t="shared" si="6"/>
        <v>280</v>
      </c>
      <c r="AL4" s="1">
        <f t="shared" ref="AL4:AL11" si="26">(Q4+S4)*AI4</f>
        <v>42</v>
      </c>
      <c r="AM4" s="1">
        <f>VLOOKUP(X4,[3]ölçme_sistemleri!I:N,6,FALSE)</f>
        <v>2</v>
      </c>
      <c r="AN4" s="1">
        <v>2</v>
      </c>
      <c r="AO4" s="1">
        <f t="shared" si="7"/>
        <v>4</v>
      </c>
      <c r="AP4" s="1">
        <v>14</v>
      </c>
      <c r="AQ4" s="1">
        <f t="shared" si="8"/>
        <v>70</v>
      </c>
      <c r="AR4" s="1">
        <f t="shared" si="9"/>
        <v>136</v>
      </c>
      <c r="AS4" s="1">
        <f t="shared" si="10"/>
        <v>25</v>
      </c>
      <c r="AT4" s="1">
        <f t="shared" si="11"/>
        <v>5</v>
      </c>
      <c r="AU4" s="1">
        <f t="shared" si="12"/>
        <v>0</v>
      </c>
      <c r="AV4" s="1">
        <f t="shared" si="13"/>
        <v>0</v>
      </c>
      <c r="AW4" s="1">
        <f t="shared" si="14"/>
        <v>0</v>
      </c>
      <c r="AX4" s="1">
        <f t="shared" si="15"/>
        <v>0</v>
      </c>
      <c r="AY4" s="1">
        <f t="shared" si="16"/>
        <v>-20</v>
      </c>
      <c r="AZ4" s="1">
        <f t="shared" si="17"/>
        <v>0</v>
      </c>
      <c r="BA4" s="1">
        <f t="shared" si="18"/>
        <v>-42</v>
      </c>
      <c r="BB4" s="1">
        <f t="shared" si="19"/>
        <v>0</v>
      </c>
      <c r="BC4" s="1">
        <f t="shared" si="20"/>
        <v>-4</v>
      </c>
      <c r="BD4" s="1">
        <f t="shared" si="21"/>
        <v>0</v>
      </c>
      <c r="BE4" s="1" t="s">
        <v>65</v>
      </c>
      <c r="BF4" s="1">
        <f t="shared" si="22"/>
        <v>56</v>
      </c>
      <c r="BG4" s="1">
        <f t="shared" si="23"/>
        <v>56</v>
      </c>
      <c r="BH4" s="1">
        <f t="shared" si="24"/>
        <v>2</v>
      </c>
      <c r="BI4" s="1" t="e">
        <f>IF(BH4-#REF!=0,"DOĞRU","YANLIŞ")</f>
        <v>#REF!</v>
      </c>
      <c r="BJ4" s="1" t="e">
        <f>#REF!-BH4</f>
        <v>#REF!</v>
      </c>
      <c r="BK4" s="1">
        <v>0</v>
      </c>
      <c r="BM4" s="1">
        <v>0</v>
      </c>
      <c r="BO4" s="1">
        <v>2</v>
      </c>
      <c r="BT4" s="8">
        <f t="shared" si="25"/>
        <v>28</v>
      </c>
      <c r="BU4" s="9"/>
      <c r="BV4" s="10"/>
      <c r="BW4" s="11"/>
      <c r="BX4" s="11"/>
      <c r="BY4" s="11"/>
      <c r="BZ4" s="11"/>
      <c r="CA4" s="11"/>
      <c r="CB4" s="12"/>
      <c r="CC4" s="13"/>
      <c r="CD4" s="14"/>
      <c r="CL4" s="11"/>
      <c r="CM4" s="11"/>
      <c r="CN4" s="11"/>
      <c r="CO4" s="11"/>
      <c r="CP4" s="11"/>
      <c r="CQ4" s="46"/>
      <c r="CR4" s="46"/>
      <c r="CS4" s="48"/>
      <c r="CT4" s="48"/>
      <c r="CU4" s="48"/>
      <c r="CV4" s="48"/>
      <c r="CW4" s="49"/>
      <c r="CX4" s="49"/>
    </row>
    <row r="5" spans="1:103" hidden="1" x14ac:dyDescent="0.25">
      <c r="A5" s="1" t="s">
        <v>107</v>
      </c>
      <c r="B5" s="1" t="s">
        <v>108</v>
      </c>
      <c r="C5" s="1" t="s">
        <v>108</v>
      </c>
      <c r="D5" s="2" t="s">
        <v>63</v>
      </c>
      <c r="E5" s="2" t="s">
        <v>63</v>
      </c>
      <c r="F5" s="3" t="e">
        <f>IF(BE5="S",
IF(#REF!+BM5=2018,
IF(#REF!=1,"18-19/1",
IF(#REF!=2,"18-19/2",
IF(#REF!=3,"19-20/1",
IF(#REF!=4,"19-20/2",
IF(#REF!=5,"20-21/1",
IF(#REF!=6,"20-21/2",
IF(#REF!=7,"21-22/1",
IF(#REF!=8,"21-22/2","Hata1")))))))),
IF(#REF!+BM5=2019,
IF(#REF!=1,"19-20/1",
IF(#REF!=2,"19-20/2",
IF(#REF!=3,"20-21/1",
IF(#REF!=4,"20-21/2",
IF(#REF!=5,"21-22/1",
IF(#REF!=6,"21-22/2",
IF(#REF!=7,"22-23/1",
IF(#REF!=8,"22-23/2","Hata2")))))))),
IF(#REF!+BM5=2020,
IF(#REF!=1,"20-21/1",
IF(#REF!=2,"20-21/2",
IF(#REF!=3,"21-22/1",
IF(#REF!=4,"21-22/2",
IF(#REF!=5,"22-23/1",
IF(#REF!=6,"22-23/2",
IF(#REF!=7,"23-24/1",
IF(#REF!=8,"23-24/2","Hata3")))))))),
IF(#REF!+BM5=2021,
IF(#REF!=1,"21-22/1",
IF(#REF!=2,"21-22/2",
IF(#REF!=3,"22-23/1",
IF(#REF!=4,"22-23/2",
IF(#REF!=5,"23-24/1",
IF(#REF!=6,"23-24/2",
IF(#REF!=7,"24-25/1",
IF(#REF!=8,"24-25/2","Hata4")))))))),
IF(#REF!+BM5=2022,
IF(#REF!=1,"22-23/1",
IF(#REF!=2,"22-23/2",
IF(#REF!=3,"23-24/1",
IF(#REF!=4,"23-24/2",
IF(#REF!=5,"24-25/1",
IF(#REF!=6,"24-25/2",
IF(#REF!=7,"25-26/1",
IF(#REF!=8,"25-26/2","Hata5")))))))),
IF(#REF!+BM5=2023,
IF(#REF!=1,"23-24/1",
IF(#REF!=2,"23-24/2",
IF(#REF!=3,"24-25/1",
IF(#REF!=4,"24-25/2",
IF(#REF!=5,"25-26/1",
IF(#REF!=6,"25-26/2",
IF(#REF!=7,"26-27/1",
IF(#REF!=8,"26-27/2","Hata6")))))))),
)))))),
IF(BE5="T",
IF(#REF!+BM5=2018,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" s="1" t="s">
        <v>73</v>
      </c>
      <c r="J5" s="1">
        <v>4234782</v>
      </c>
      <c r="L5" s="2">
        <v>3447</v>
      </c>
      <c r="N5" s="2">
        <v>5</v>
      </c>
      <c r="O5" s="2">
        <f t="shared" si="0"/>
        <v>3</v>
      </c>
      <c r="P5" s="2">
        <f t="shared" si="1"/>
        <v>3</v>
      </c>
      <c r="Q5" s="2">
        <v>0</v>
      </c>
      <c r="R5" s="2">
        <v>0</v>
      </c>
      <c r="S5" s="2">
        <v>3</v>
      </c>
      <c r="X5" s="3">
        <v>3</v>
      </c>
      <c r="Y5" s="1">
        <f>VLOOKUP(X5,[3]ölçme_sistemleri!I:L,2,FALSE)</f>
        <v>2</v>
      </c>
      <c r="Z5" s="1">
        <f>VLOOKUP(X5,[3]ölçme_sistemleri!I:L,3,FALSE)</f>
        <v>1</v>
      </c>
      <c r="AA5" s="1">
        <f>VLOOKUP(X5,[3]ölçme_sistemleri!I:L,4,FALSE)</f>
        <v>1</v>
      </c>
      <c r="AB5" s="1">
        <f>$O5*[3]ölçme_sistemleri!$J$13</f>
        <v>3</v>
      </c>
      <c r="AC5" s="1">
        <f>$O5*[3]ölçme_sistemleri!$K$13</f>
        <v>6</v>
      </c>
      <c r="AD5" s="1">
        <f>$O5*[3]ölçme_sistemleri!$L$13</f>
        <v>9</v>
      </c>
      <c r="AE5" s="1">
        <f t="shared" si="2"/>
        <v>6</v>
      </c>
      <c r="AF5" s="1">
        <f t="shared" si="3"/>
        <v>6</v>
      </c>
      <c r="AG5" s="1">
        <f t="shared" si="4"/>
        <v>9</v>
      </c>
      <c r="AH5" s="1">
        <f t="shared" si="5"/>
        <v>21</v>
      </c>
      <c r="AI5" s="1">
        <v>14</v>
      </c>
      <c r="AJ5" s="1">
        <f>VLOOKUP(X5,[3]ölçme_sistemleri!I:M,5,FALSE)</f>
        <v>3</v>
      </c>
      <c r="AK5" s="1">
        <f t="shared" si="6"/>
        <v>294</v>
      </c>
      <c r="AL5" s="1">
        <f t="shared" si="26"/>
        <v>42</v>
      </c>
      <c r="AM5" s="1">
        <f>VLOOKUP(X5,[3]ölçme_sistemleri!I:N,6,FALSE)</f>
        <v>4</v>
      </c>
      <c r="AN5" s="1">
        <v>2</v>
      </c>
      <c r="AO5" s="1">
        <f t="shared" si="7"/>
        <v>8</v>
      </c>
      <c r="AP5" s="1">
        <v>14</v>
      </c>
      <c r="AQ5" s="1">
        <f t="shared" si="8"/>
        <v>42</v>
      </c>
      <c r="AR5" s="1">
        <f t="shared" si="9"/>
        <v>113</v>
      </c>
      <c r="AS5" s="1">
        <f t="shared" si="10"/>
        <v>25</v>
      </c>
      <c r="AT5" s="1">
        <f t="shared" si="11"/>
        <v>5</v>
      </c>
      <c r="AU5" s="1">
        <f t="shared" si="12"/>
        <v>0</v>
      </c>
      <c r="AV5" s="1">
        <f t="shared" si="13"/>
        <v>0</v>
      </c>
      <c r="AW5" s="1">
        <f t="shared" si="14"/>
        <v>0</v>
      </c>
      <c r="AX5" s="1">
        <f t="shared" si="15"/>
        <v>0</v>
      </c>
      <c r="AY5" s="1">
        <f t="shared" si="16"/>
        <v>-21</v>
      </c>
      <c r="AZ5" s="1">
        <f t="shared" si="17"/>
        <v>0</v>
      </c>
      <c r="BA5" s="1">
        <f t="shared" si="18"/>
        <v>-42</v>
      </c>
      <c r="BB5" s="1">
        <f t="shared" si="19"/>
        <v>0</v>
      </c>
      <c r="BC5" s="1">
        <f t="shared" si="20"/>
        <v>-8</v>
      </c>
      <c r="BD5" s="1">
        <f t="shared" si="21"/>
        <v>0</v>
      </c>
      <c r="BE5" s="1" t="s">
        <v>65</v>
      </c>
      <c r="BF5" s="1">
        <f t="shared" si="22"/>
        <v>42</v>
      </c>
      <c r="BG5" s="1">
        <f t="shared" si="23"/>
        <v>42</v>
      </c>
      <c r="BH5" s="1">
        <f t="shared" si="24"/>
        <v>1</v>
      </c>
      <c r="BI5" s="1" t="e">
        <f>IF(BH5-#REF!=0,"DOĞRU","YANLIŞ")</f>
        <v>#REF!</v>
      </c>
      <c r="BJ5" s="1" t="e">
        <f>#REF!-BH5</f>
        <v>#REF!</v>
      </c>
      <c r="BK5" s="1">
        <v>0</v>
      </c>
      <c r="BM5" s="1">
        <v>0</v>
      </c>
      <c r="BO5" s="1">
        <v>4</v>
      </c>
      <c r="BT5" s="8">
        <f t="shared" si="25"/>
        <v>0</v>
      </c>
      <c r="BU5" s="9"/>
      <c r="BV5" s="10"/>
      <c r="BW5" s="11"/>
      <c r="BX5" s="11"/>
      <c r="BY5" s="11"/>
      <c r="BZ5" s="11"/>
      <c r="CA5" s="11"/>
      <c r="CB5" s="12"/>
      <c r="CC5" s="13"/>
      <c r="CD5" s="14"/>
      <c r="CL5" s="11"/>
      <c r="CM5" s="11"/>
      <c r="CN5" s="11"/>
      <c r="CO5" s="11"/>
      <c r="CP5" s="50"/>
      <c r="CQ5" s="54"/>
      <c r="CR5" s="46"/>
      <c r="CS5" s="49"/>
      <c r="CT5" s="48"/>
      <c r="CU5" s="54"/>
      <c r="CV5" s="48"/>
      <c r="CW5" s="54"/>
      <c r="CX5" s="49"/>
    </row>
    <row r="6" spans="1:103" hidden="1" x14ac:dyDescent="0.25">
      <c r="A6" s="1" t="s">
        <v>103</v>
      </c>
      <c r="B6" s="1" t="s">
        <v>104</v>
      </c>
      <c r="C6" s="1" t="s">
        <v>104</v>
      </c>
      <c r="D6" s="2" t="s">
        <v>63</v>
      </c>
      <c r="E6" s="2" t="s">
        <v>63</v>
      </c>
      <c r="F6" s="3" t="e">
        <f>IF(BE6="S",
IF(#REF!+BM6=2018,
IF(#REF!=1,"18-19/1",
IF(#REF!=2,"18-19/2",
IF(#REF!=3,"19-20/1",
IF(#REF!=4,"19-20/2",
IF(#REF!=5,"20-21/1",
IF(#REF!=6,"20-21/2",
IF(#REF!=7,"21-22/1",
IF(#REF!=8,"21-22/2","Hata1")))))))),
IF(#REF!+BM6=2019,
IF(#REF!=1,"19-20/1",
IF(#REF!=2,"19-20/2",
IF(#REF!=3,"20-21/1",
IF(#REF!=4,"20-21/2",
IF(#REF!=5,"21-22/1",
IF(#REF!=6,"21-22/2",
IF(#REF!=7,"22-23/1",
IF(#REF!=8,"22-23/2","Hata2")))))))),
IF(#REF!+BM6=2020,
IF(#REF!=1,"20-21/1",
IF(#REF!=2,"20-21/2",
IF(#REF!=3,"21-22/1",
IF(#REF!=4,"21-22/2",
IF(#REF!=5,"22-23/1",
IF(#REF!=6,"22-23/2",
IF(#REF!=7,"23-24/1",
IF(#REF!=8,"23-24/2","Hata3")))))))),
IF(#REF!+BM6=2021,
IF(#REF!=1,"21-22/1",
IF(#REF!=2,"21-22/2",
IF(#REF!=3,"22-23/1",
IF(#REF!=4,"22-23/2",
IF(#REF!=5,"23-24/1",
IF(#REF!=6,"23-24/2",
IF(#REF!=7,"24-25/1",
IF(#REF!=8,"24-25/2","Hata4")))))))),
IF(#REF!+BM6=2022,
IF(#REF!=1,"22-23/1",
IF(#REF!=2,"22-23/2",
IF(#REF!=3,"23-24/1",
IF(#REF!=4,"23-24/2",
IF(#REF!=5,"24-25/1",
IF(#REF!=6,"24-25/2",
IF(#REF!=7,"25-26/1",
IF(#REF!=8,"25-26/2","Hata5")))))))),
IF(#REF!+BM6=2023,
IF(#REF!=1,"23-24/1",
IF(#REF!=2,"23-24/2",
IF(#REF!=3,"24-25/1",
IF(#REF!=4,"24-25/2",
IF(#REF!=5,"25-26/1",
IF(#REF!=6,"25-26/2",
IF(#REF!=7,"26-27/1",
IF(#REF!=8,"26-27/2","Hata6")))))))),
)))))),
IF(BE6="T",
IF(#REF!+BM6=2018,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" s="1" t="s">
        <v>73</v>
      </c>
      <c r="J6" s="1">
        <v>4234782</v>
      </c>
      <c r="L6" s="2">
        <v>3446</v>
      </c>
      <c r="N6" s="2">
        <v>5</v>
      </c>
      <c r="O6" s="2">
        <f t="shared" si="0"/>
        <v>3</v>
      </c>
      <c r="P6" s="2">
        <f t="shared" si="1"/>
        <v>3</v>
      </c>
      <c r="Q6" s="2">
        <v>3</v>
      </c>
      <c r="R6" s="2">
        <v>0</v>
      </c>
      <c r="S6" s="2">
        <v>0</v>
      </c>
      <c r="X6" s="3">
        <v>3</v>
      </c>
      <c r="Y6" s="1">
        <f>VLOOKUP(X6,[3]ölçme_sistemleri!I:L,2,FALSE)</f>
        <v>2</v>
      </c>
      <c r="Z6" s="1">
        <f>VLOOKUP(X6,[3]ölçme_sistemleri!I:L,3,FALSE)</f>
        <v>1</v>
      </c>
      <c r="AA6" s="1">
        <f>VLOOKUP(X6,[3]ölçme_sistemleri!I:L,4,FALSE)</f>
        <v>1</v>
      </c>
      <c r="AB6" s="1">
        <f>$O6*[3]ölçme_sistemleri!$J$13</f>
        <v>3</v>
      </c>
      <c r="AC6" s="1">
        <f>$O6*[3]ölçme_sistemleri!$K$13</f>
        <v>6</v>
      </c>
      <c r="AD6" s="1">
        <f>$O6*[3]ölçme_sistemleri!$L$13</f>
        <v>9</v>
      </c>
      <c r="AE6" s="1">
        <f t="shared" si="2"/>
        <v>6</v>
      </c>
      <c r="AF6" s="1">
        <f t="shared" si="3"/>
        <v>6</v>
      </c>
      <c r="AG6" s="1">
        <f t="shared" si="4"/>
        <v>9</v>
      </c>
      <c r="AH6" s="1">
        <f t="shared" si="5"/>
        <v>21</v>
      </c>
      <c r="AI6" s="1">
        <v>14</v>
      </c>
      <c r="AJ6" s="1">
        <f>VLOOKUP(X6,[3]ölçme_sistemleri!I:M,5,FALSE)</f>
        <v>3</v>
      </c>
      <c r="AK6" s="1">
        <f t="shared" si="6"/>
        <v>294</v>
      </c>
      <c r="AL6" s="1">
        <f t="shared" si="26"/>
        <v>42</v>
      </c>
      <c r="AM6" s="1">
        <f>VLOOKUP(X6,[3]ölçme_sistemleri!I:N,6,FALSE)</f>
        <v>4</v>
      </c>
      <c r="AN6" s="1">
        <v>2</v>
      </c>
      <c r="AO6" s="1">
        <f t="shared" si="7"/>
        <v>8</v>
      </c>
      <c r="AP6" s="1">
        <v>14</v>
      </c>
      <c r="AQ6" s="1">
        <f t="shared" si="8"/>
        <v>42</v>
      </c>
      <c r="AR6" s="1">
        <f t="shared" si="9"/>
        <v>113</v>
      </c>
      <c r="AS6" s="1">
        <f t="shared" si="10"/>
        <v>25</v>
      </c>
      <c r="AT6" s="1">
        <f t="shared" si="11"/>
        <v>5</v>
      </c>
      <c r="AU6" s="1">
        <f t="shared" si="12"/>
        <v>0</v>
      </c>
      <c r="AV6" s="1">
        <f t="shared" si="13"/>
        <v>0</v>
      </c>
      <c r="AW6" s="1">
        <f t="shared" si="14"/>
        <v>0</v>
      </c>
      <c r="AX6" s="1">
        <f t="shared" si="15"/>
        <v>0</v>
      </c>
      <c r="AY6" s="1">
        <f t="shared" si="16"/>
        <v>-21</v>
      </c>
      <c r="AZ6" s="1">
        <f t="shared" si="17"/>
        <v>0</v>
      </c>
      <c r="BA6" s="1">
        <f t="shared" si="18"/>
        <v>-42</v>
      </c>
      <c r="BB6" s="1">
        <f t="shared" si="19"/>
        <v>0</v>
      </c>
      <c r="BC6" s="1">
        <f t="shared" si="20"/>
        <v>-8</v>
      </c>
      <c r="BD6" s="1">
        <f t="shared" si="21"/>
        <v>0</v>
      </c>
      <c r="BE6" s="1" t="s">
        <v>65</v>
      </c>
      <c r="BF6" s="1">
        <f t="shared" si="22"/>
        <v>42</v>
      </c>
      <c r="BG6" s="1">
        <f t="shared" si="23"/>
        <v>42</v>
      </c>
      <c r="BH6" s="1">
        <f t="shared" si="24"/>
        <v>1</v>
      </c>
      <c r="BI6" s="1" t="e">
        <f>IF(BH6-#REF!=0,"DOĞRU","YANLIŞ")</f>
        <v>#REF!</v>
      </c>
      <c r="BJ6" s="1" t="e">
        <f>#REF!-BH6</f>
        <v>#REF!</v>
      </c>
      <c r="BK6" s="1">
        <v>0</v>
      </c>
      <c r="BM6" s="1">
        <v>0</v>
      </c>
      <c r="BO6" s="1">
        <v>4</v>
      </c>
      <c r="BT6" s="8">
        <f t="shared" si="25"/>
        <v>0</v>
      </c>
      <c r="BU6" s="9"/>
      <c r="BV6" s="10"/>
      <c r="BW6" s="11"/>
      <c r="BX6" s="11"/>
      <c r="BY6" s="11"/>
      <c r="BZ6" s="11"/>
      <c r="CA6" s="11"/>
      <c r="CB6" s="12"/>
      <c r="CC6" s="13"/>
      <c r="CD6" s="14"/>
      <c r="CL6" s="11"/>
      <c r="CM6" s="11"/>
      <c r="CN6" s="11"/>
      <c r="CO6" s="11"/>
      <c r="CP6" s="11"/>
      <c r="CQ6" s="46"/>
      <c r="CR6" s="46"/>
      <c r="CS6" s="48"/>
      <c r="CT6" s="48"/>
      <c r="CU6" s="48"/>
      <c r="CV6" s="48"/>
      <c r="CW6" s="49"/>
      <c r="CX6" s="49"/>
    </row>
    <row r="7" spans="1:103" hidden="1" x14ac:dyDescent="0.25">
      <c r="A7" s="1" t="s">
        <v>101</v>
      </c>
      <c r="B7" s="1" t="s">
        <v>102</v>
      </c>
      <c r="C7" s="1" t="s">
        <v>102</v>
      </c>
      <c r="D7" s="2" t="s">
        <v>63</v>
      </c>
      <c r="E7" s="2" t="s">
        <v>63</v>
      </c>
      <c r="F7" s="3" t="e">
        <f>IF(BE7="S",
IF(#REF!+BM7=2018,
IF(#REF!=1,"18-19/1",
IF(#REF!=2,"18-19/2",
IF(#REF!=3,"19-20/1",
IF(#REF!=4,"19-20/2",
IF(#REF!=5,"20-21/1",
IF(#REF!=6,"20-21/2",
IF(#REF!=7,"21-22/1",
IF(#REF!=8,"21-22/2","Hata1")))))))),
IF(#REF!+BM7=2019,
IF(#REF!=1,"19-20/1",
IF(#REF!=2,"19-20/2",
IF(#REF!=3,"20-21/1",
IF(#REF!=4,"20-21/2",
IF(#REF!=5,"21-22/1",
IF(#REF!=6,"21-22/2",
IF(#REF!=7,"22-23/1",
IF(#REF!=8,"22-23/2","Hata2")))))))),
IF(#REF!+BM7=2020,
IF(#REF!=1,"20-21/1",
IF(#REF!=2,"20-21/2",
IF(#REF!=3,"21-22/1",
IF(#REF!=4,"21-22/2",
IF(#REF!=5,"22-23/1",
IF(#REF!=6,"22-23/2",
IF(#REF!=7,"23-24/1",
IF(#REF!=8,"23-24/2","Hata3")))))))),
IF(#REF!+BM7=2021,
IF(#REF!=1,"21-22/1",
IF(#REF!=2,"21-22/2",
IF(#REF!=3,"22-23/1",
IF(#REF!=4,"22-23/2",
IF(#REF!=5,"23-24/1",
IF(#REF!=6,"23-24/2",
IF(#REF!=7,"24-25/1",
IF(#REF!=8,"24-25/2","Hata4")))))))),
IF(#REF!+BM7=2022,
IF(#REF!=1,"22-23/1",
IF(#REF!=2,"22-23/2",
IF(#REF!=3,"23-24/1",
IF(#REF!=4,"23-24/2",
IF(#REF!=5,"24-25/1",
IF(#REF!=6,"24-25/2",
IF(#REF!=7,"25-26/1",
IF(#REF!=8,"25-26/2","Hata5")))))))),
IF(#REF!+BM7=2023,
IF(#REF!=1,"23-24/1",
IF(#REF!=2,"23-24/2",
IF(#REF!=3,"24-25/1",
IF(#REF!=4,"24-25/2",
IF(#REF!=5,"25-26/1",
IF(#REF!=6,"25-26/2",
IF(#REF!=7,"26-27/1",
IF(#REF!=8,"26-27/2","Hata6")))))))),
)))))),
IF(BE7="T",
IF(#REF!+BM7=2018,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" s="1" t="s">
        <v>73</v>
      </c>
      <c r="J7" s="1">
        <v>4234782</v>
      </c>
      <c r="L7" s="2">
        <v>332</v>
      </c>
      <c r="N7" s="2">
        <v>4</v>
      </c>
      <c r="O7" s="2">
        <f t="shared" si="0"/>
        <v>3</v>
      </c>
      <c r="P7" s="2">
        <f t="shared" si="1"/>
        <v>3</v>
      </c>
      <c r="Q7" s="2">
        <v>3</v>
      </c>
      <c r="R7" s="2">
        <v>0</v>
      </c>
      <c r="S7" s="2">
        <v>0</v>
      </c>
      <c r="X7" s="3">
        <v>2</v>
      </c>
      <c r="Y7" s="1">
        <f>VLOOKUP(X7,[3]ölçme_sistemleri!I:L,2,FALSE)</f>
        <v>0</v>
      </c>
      <c r="Z7" s="1">
        <f>VLOOKUP(X7,[3]ölçme_sistemleri!I:L,3,FALSE)</f>
        <v>2</v>
      </c>
      <c r="AA7" s="1">
        <f>VLOOKUP(X7,[3]ölçme_sistemleri!I:L,4,FALSE)</f>
        <v>1</v>
      </c>
      <c r="AB7" s="1">
        <f>$O7*[3]ölçme_sistemleri!$J$13</f>
        <v>3</v>
      </c>
      <c r="AC7" s="1">
        <f>$O7*[3]ölçme_sistemleri!$K$13</f>
        <v>6</v>
      </c>
      <c r="AD7" s="1">
        <f>$O7*[3]ölçme_sistemleri!$L$13</f>
        <v>9</v>
      </c>
      <c r="AE7" s="1">
        <f t="shared" si="2"/>
        <v>0</v>
      </c>
      <c r="AF7" s="1">
        <f t="shared" si="3"/>
        <v>12</v>
      </c>
      <c r="AG7" s="1">
        <f t="shared" si="4"/>
        <v>9</v>
      </c>
      <c r="AH7" s="1">
        <f t="shared" si="5"/>
        <v>21</v>
      </c>
      <c r="AI7" s="1">
        <v>14</v>
      </c>
      <c r="AJ7" s="1">
        <f>VLOOKUP(X7,[3]ölçme_sistemleri!I:M,5,FALSE)</f>
        <v>2</v>
      </c>
      <c r="AK7" s="1">
        <f t="shared" si="6"/>
        <v>294</v>
      </c>
      <c r="AL7" s="1">
        <f t="shared" si="26"/>
        <v>42</v>
      </c>
      <c r="AM7" s="1">
        <f>VLOOKUP(X7,[3]ölçme_sistemleri!I:N,6,FALSE)</f>
        <v>3</v>
      </c>
      <c r="AN7" s="1">
        <v>2</v>
      </c>
      <c r="AO7" s="1">
        <f t="shared" si="7"/>
        <v>6</v>
      </c>
      <c r="AP7" s="1">
        <v>14</v>
      </c>
      <c r="AQ7" s="1">
        <f t="shared" si="8"/>
        <v>42</v>
      </c>
      <c r="AR7" s="1">
        <f t="shared" si="9"/>
        <v>111</v>
      </c>
      <c r="AS7" s="1">
        <f t="shared" si="10"/>
        <v>25</v>
      </c>
      <c r="AT7" s="1">
        <f t="shared" si="11"/>
        <v>4</v>
      </c>
      <c r="AU7" s="1">
        <f t="shared" si="12"/>
        <v>0</v>
      </c>
      <c r="AV7" s="1">
        <f t="shared" si="13"/>
        <v>0</v>
      </c>
      <c r="AW7" s="1">
        <f t="shared" si="14"/>
        <v>0</v>
      </c>
      <c r="AX7" s="1">
        <f t="shared" si="15"/>
        <v>0</v>
      </c>
      <c r="AY7" s="1">
        <f t="shared" si="16"/>
        <v>-21</v>
      </c>
      <c r="AZ7" s="1">
        <f t="shared" si="17"/>
        <v>0</v>
      </c>
      <c r="BA7" s="1">
        <f t="shared" si="18"/>
        <v>-42</v>
      </c>
      <c r="BB7" s="1">
        <f t="shared" si="19"/>
        <v>0</v>
      </c>
      <c r="BC7" s="1">
        <f t="shared" si="20"/>
        <v>-6</v>
      </c>
      <c r="BD7" s="1">
        <f t="shared" si="21"/>
        <v>0</v>
      </c>
      <c r="BE7" s="1" t="s">
        <v>65</v>
      </c>
      <c r="BF7" s="1">
        <f t="shared" si="22"/>
        <v>42</v>
      </c>
      <c r="BG7" s="1">
        <f t="shared" si="23"/>
        <v>42</v>
      </c>
      <c r="BH7" s="1">
        <f t="shared" si="24"/>
        <v>1</v>
      </c>
      <c r="BI7" s="1" t="e">
        <f>IF(BH7-#REF!=0,"DOĞRU","YANLIŞ")</f>
        <v>#REF!</v>
      </c>
      <c r="BJ7" s="1" t="e">
        <f>#REF!-BH7</f>
        <v>#REF!</v>
      </c>
      <c r="BK7" s="1">
        <v>0</v>
      </c>
      <c r="BM7" s="1">
        <v>0</v>
      </c>
      <c r="BO7" s="1">
        <v>4</v>
      </c>
      <c r="BT7" s="8">
        <f t="shared" si="25"/>
        <v>0</v>
      </c>
      <c r="BU7" s="9"/>
      <c r="BV7" s="10"/>
      <c r="BW7" s="11"/>
      <c r="BX7" s="11"/>
      <c r="BY7" s="11"/>
      <c r="BZ7" s="11"/>
      <c r="CA7" s="11"/>
      <c r="CB7" s="12"/>
      <c r="CC7" s="13"/>
      <c r="CD7" s="14"/>
      <c r="CL7" s="11"/>
      <c r="CM7" s="11"/>
      <c r="CN7" s="11"/>
      <c r="CO7" s="11"/>
      <c r="CP7" s="11"/>
      <c r="CQ7" s="54"/>
      <c r="CR7" s="46"/>
      <c r="CS7" s="54"/>
      <c r="CT7" s="48"/>
      <c r="CU7" s="48"/>
      <c r="CV7" s="48"/>
      <c r="CW7" s="49"/>
      <c r="CX7" s="49"/>
    </row>
    <row r="8" spans="1:103" hidden="1" x14ac:dyDescent="0.25">
      <c r="A8" s="1" t="s">
        <v>111</v>
      </c>
      <c r="B8" s="1" t="s">
        <v>112</v>
      </c>
      <c r="C8" s="1" t="s">
        <v>112</v>
      </c>
      <c r="D8" s="2" t="s">
        <v>63</v>
      </c>
      <c r="E8" s="2" t="s">
        <v>63</v>
      </c>
      <c r="F8" s="3" t="e">
        <f>IF(BE8="S",
IF(#REF!+BM8=2018,
IF(#REF!=1,"18-19/1",
IF(#REF!=2,"18-19/2",
IF(#REF!=3,"19-20/1",
IF(#REF!=4,"19-20/2",
IF(#REF!=5,"20-21/1",
IF(#REF!=6,"20-21/2",
IF(#REF!=7,"21-22/1",
IF(#REF!=8,"21-22/2","Hata1")))))))),
IF(#REF!+BM8=2019,
IF(#REF!=1,"19-20/1",
IF(#REF!=2,"19-20/2",
IF(#REF!=3,"20-21/1",
IF(#REF!=4,"20-21/2",
IF(#REF!=5,"21-22/1",
IF(#REF!=6,"21-22/2",
IF(#REF!=7,"22-23/1",
IF(#REF!=8,"22-23/2","Hata2")))))))),
IF(#REF!+BM8=2020,
IF(#REF!=1,"20-21/1",
IF(#REF!=2,"20-21/2",
IF(#REF!=3,"21-22/1",
IF(#REF!=4,"21-22/2",
IF(#REF!=5,"22-23/1",
IF(#REF!=6,"22-23/2",
IF(#REF!=7,"23-24/1",
IF(#REF!=8,"23-24/2","Hata3")))))))),
IF(#REF!+BM8=2021,
IF(#REF!=1,"21-22/1",
IF(#REF!=2,"21-22/2",
IF(#REF!=3,"22-23/1",
IF(#REF!=4,"22-23/2",
IF(#REF!=5,"23-24/1",
IF(#REF!=6,"23-24/2",
IF(#REF!=7,"24-25/1",
IF(#REF!=8,"24-25/2","Hata4")))))))),
IF(#REF!+BM8=2022,
IF(#REF!=1,"22-23/1",
IF(#REF!=2,"22-23/2",
IF(#REF!=3,"23-24/1",
IF(#REF!=4,"23-24/2",
IF(#REF!=5,"24-25/1",
IF(#REF!=6,"24-25/2",
IF(#REF!=7,"25-26/1",
IF(#REF!=8,"25-26/2","Hata5")))))))),
IF(#REF!+BM8=2023,
IF(#REF!=1,"23-24/1",
IF(#REF!=2,"23-24/2",
IF(#REF!=3,"24-25/1",
IF(#REF!=4,"24-25/2",
IF(#REF!=5,"25-26/1",
IF(#REF!=6,"25-26/2",
IF(#REF!=7,"26-27/1",
IF(#REF!=8,"26-27/2","Hata6")))))))),
)))))),
IF(BE8="T",
IF(#REF!+BM8=2018,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" s="1" t="s">
        <v>73</v>
      </c>
      <c r="J8" s="1">
        <v>4234782</v>
      </c>
      <c r="L8" s="2">
        <v>501</v>
      </c>
      <c r="N8" s="2">
        <v>6</v>
      </c>
      <c r="O8" s="6">
        <f t="shared" si="0"/>
        <v>4.5</v>
      </c>
      <c r="P8" s="2">
        <f t="shared" si="1"/>
        <v>6</v>
      </c>
      <c r="Q8" s="2">
        <v>0</v>
      </c>
      <c r="R8" s="2">
        <v>3</v>
      </c>
      <c r="S8" s="2">
        <v>3</v>
      </c>
      <c r="X8" s="3">
        <v>4</v>
      </c>
      <c r="Y8" s="1">
        <f>VLOOKUP(X8,[2]ölçme_sistemleri!I:L,2,FALSE)</f>
        <v>0</v>
      </c>
      <c r="Z8" s="1">
        <f>VLOOKUP(X8,[2]ölçme_sistemleri!I:L,3,FALSE)</f>
        <v>1</v>
      </c>
      <c r="AA8" s="1">
        <f>VLOOKUP(X8,[2]ölçme_sistemleri!I:L,4,FALSE)</f>
        <v>1</v>
      </c>
      <c r="AB8" s="1">
        <f>$O8*[2]ölçme_sistemleri!$J$13</f>
        <v>4.5</v>
      </c>
      <c r="AC8" s="1">
        <f>$O8*[2]ölçme_sistemleri!$K$13</f>
        <v>9</v>
      </c>
      <c r="AD8" s="1">
        <f>$O8*[2]ölçme_sistemleri!$L$13</f>
        <v>13.5</v>
      </c>
      <c r="AE8" s="1">
        <f t="shared" si="2"/>
        <v>0</v>
      </c>
      <c r="AF8" s="1">
        <f t="shared" si="3"/>
        <v>9</v>
      </c>
      <c r="AG8" s="1">
        <f t="shared" si="4"/>
        <v>13.5</v>
      </c>
      <c r="AH8" s="1">
        <f t="shared" si="5"/>
        <v>22.5</v>
      </c>
      <c r="AI8" s="1">
        <v>14</v>
      </c>
      <c r="AJ8" s="1">
        <f>VLOOKUP(X8,[2]ölçme_sistemleri!I:M,5,FALSE)</f>
        <v>1</v>
      </c>
      <c r="AK8" s="1">
        <f t="shared" si="6"/>
        <v>315</v>
      </c>
      <c r="AL8" s="1">
        <f t="shared" si="26"/>
        <v>42</v>
      </c>
      <c r="AM8" s="1">
        <f>VLOOKUP(X8,[2]ölçme_sistemleri!I:N,6,FALSE)</f>
        <v>2</v>
      </c>
      <c r="AN8" s="1">
        <v>2</v>
      </c>
      <c r="AO8" s="1">
        <f t="shared" si="7"/>
        <v>4</v>
      </c>
      <c r="AP8" s="1">
        <v>14</v>
      </c>
      <c r="AQ8" s="1">
        <f t="shared" si="8"/>
        <v>84</v>
      </c>
      <c r="AR8" s="1">
        <f t="shared" si="9"/>
        <v>152.5</v>
      </c>
      <c r="AS8" s="1">
        <f t="shared" si="10"/>
        <v>25</v>
      </c>
      <c r="AT8" s="1">
        <f t="shared" si="11"/>
        <v>6</v>
      </c>
      <c r="AU8" s="1">
        <f t="shared" si="12"/>
        <v>0</v>
      </c>
      <c r="AV8" s="1">
        <f t="shared" si="13"/>
        <v>0</v>
      </c>
      <c r="AW8" s="1">
        <f t="shared" si="14"/>
        <v>0</v>
      </c>
      <c r="AX8" s="1">
        <f t="shared" si="15"/>
        <v>0</v>
      </c>
      <c r="AY8" s="1">
        <f t="shared" si="16"/>
        <v>-22.5</v>
      </c>
      <c r="AZ8" s="1">
        <f t="shared" si="17"/>
        <v>0</v>
      </c>
      <c r="BA8" s="1">
        <f t="shared" si="18"/>
        <v>-42</v>
      </c>
      <c r="BB8" s="1">
        <f t="shared" si="19"/>
        <v>0</v>
      </c>
      <c r="BC8" s="1">
        <f t="shared" si="20"/>
        <v>-4</v>
      </c>
      <c r="BD8" s="1">
        <f t="shared" si="21"/>
        <v>0</v>
      </c>
      <c r="BE8" s="1" t="s">
        <v>65</v>
      </c>
      <c r="BF8" s="1">
        <f t="shared" si="22"/>
        <v>63</v>
      </c>
      <c r="BG8" s="1">
        <f t="shared" si="23"/>
        <v>63</v>
      </c>
      <c r="BH8" s="1">
        <f t="shared" si="24"/>
        <v>2</v>
      </c>
      <c r="BI8" s="1" t="e">
        <f>IF(BH8-#REF!=0,"DOĞRU","YANLIŞ")</f>
        <v>#REF!</v>
      </c>
      <c r="BJ8" s="1" t="e">
        <f>#REF!-BH8</f>
        <v>#REF!</v>
      </c>
      <c r="BK8" s="1">
        <v>0</v>
      </c>
      <c r="BM8" s="1">
        <v>0</v>
      </c>
      <c r="BO8" s="1">
        <v>2</v>
      </c>
      <c r="BT8" s="8">
        <f t="shared" si="25"/>
        <v>42</v>
      </c>
      <c r="BU8" s="9"/>
      <c r="BV8" s="10"/>
      <c r="BW8" s="11"/>
      <c r="BX8" s="11"/>
      <c r="BY8" s="11"/>
      <c r="BZ8" s="11"/>
      <c r="CA8" s="11"/>
      <c r="CB8" s="12"/>
      <c r="CC8" s="13"/>
      <c r="CD8" s="14"/>
      <c r="CL8" s="11"/>
      <c r="CM8" s="11"/>
      <c r="CN8" s="11"/>
      <c r="CO8" s="11"/>
      <c r="CP8" s="50"/>
      <c r="CQ8" s="54"/>
      <c r="CR8" s="46"/>
      <c r="CS8" s="54"/>
      <c r="CT8" s="48"/>
      <c r="CU8" s="54"/>
      <c r="CV8" s="48"/>
      <c r="CW8" s="49"/>
      <c r="CX8" s="49"/>
    </row>
    <row r="9" spans="1:103" hidden="1" x14ac:dyDescent="0.25">
      <c r="A9" s="1" t="s">
        <v>357</v>
      </c>
      <c r="B9" s="1" t="s">
        <v>358</v>
      </c>
      <c r="C9" s="1" t="s">
        <v>358</v>
      </c>
      <c r="D9" s="2" t="s">
        <v>63</v>
      </c>
      <c r="E9" s="2" t="s">
        <v>63</v>
      </c>
      <c r="F9" s="3" t="e">
        <f>IF(BE9="S",
IF(#REF!+BM9=2018,
IF(#REF!=1,"18-19/1",
IF(#REF!=2,"18-19/2",
IF(#REF!=3,"19-20/1",
IF(#REF!=4,"19-20/2",
IF(#REF!=5,"20-21/1",
IF(#REF!=6,"20-21/2",
IF(#REF!=7,"21-22/1",
IF(#REF!=8,"21-22/2","Hata1")))))))),
IF(#REF!+BM9=2019,
IF(#REF!=1,"19-20/1",
IF(#REF!=2,"19-20/2",
IF(#REF!=3,"20-21/1",
IF(#REF!=4,"20-21/2",
IF(#REF!=5,"21-22/1",
IF(#REF!=6,"21-22/2",
IF(#REF!=7,"22-23/1",
IF(#REF!=8,"22-23/2","Hata2")))))))),
IF(#REF!+BM9=2020,
IF(#REF!=1,"20-21/1",
IF(#REF!=2,"20-21/2",
IF(#REF!=3,"21-22/1",
IF(#REF!=4,"21-22/2",
IF(#REF!=5,"22-23/1",
IF(#REF!=6,"22-23/2",
IF(#REF!=7,"23-24/1",
IF(#REF!=8,"23-24/2","Hata3")))))))),
IF(#REF!+BM9=2021,
IF(#REF!=1,"21-22/1",
IF(#REF!=2,"21-22/2",
IF(#REF!=3,"22-23/1",
IF(#REF!=4,"22-23/2",
IF(#REF!=5,"23-24/1",
IF(#REF!=6,"23-24/2",
IF(#REF!=7,"24-25/1",
IF(#REF!=8,"24-25/2","Hata4")))))))),
IF(#REF!+BM9=2022,
IF(#REF!=1,"22-23/1",
IF(#REF!=2,"22-23/2",
IF(#REF!=3,"23-24/1",
IF(#REF!=4,"23-24/2",
IF(#REF!=5,"24-25/1",
IF(#REF!=6,"24-25/2",
IF(#REF!=7,"25-26/1",
IF(#REF!=8,"25-26/2","Hata5")))))))),
IF(#REF!+BM9=2023,
IF(#REF!=1,"23-24/1",
IF(#REF!=2,"23-24/2",
IF(#REF!=3,"24-25/1",
IF(#REF!=4,"24-25/2",
IF(#REF!=5,"25-26/1",
IF(#REF!=6,"25-26/2",
IF(#REF!=7,"26-27/1",
IF(#REF!=8,"26-27/2","Hata6")))))))),
)))))),
IF(BE9="T",
IF(#REF!+BM9=2018,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" s="1" t="s">
        <v>73</v>
      </c>
      <c r="J9" s="1">
        <v>4234782</v>
      </c>
      <c r="L9" s="2">
        <v>4366</v>
      </c>
      <c r="N9" s="2">
        <v>1</v>
      </c>
      <c r="O9" s="6">
        <f t="shared" si="0"/>
        <v>1</v>
      </c>
      <c r="P9" s="2">
        <f t="shared" si="1"/>
        <v>1</v>
      </c>
      <c r="Q9" s="2">
        <v>1</v>
      </c>
      <c r="R9" s="2">
        <v>0</v>
      </c>
      <c r="S9" s="2">
        <v>0</v>
      </c>
      <c r="X9" s="3">
        <v>0</v>
      </c>
      <c r="Y9" s="1">
        <f>VLOOKUP(X9,[4]ölçme_sistemleri!I:L,2,FALSE)</f>
        <v>0</v>
      </c>
      <c r="Z9" s="1">
        <f>VLOOKUP(X9,[4]ölçme_sistemleri!I:L,3,FALSE)</f>
        <v>0</v>
      </c>
      <c r="AA9" s="1">
        <f>VLOOKUP(X9,[4]ölçme_sistemleri!I:L,4,FALSE)</f>
        <v>0</v>
      </c>
      <c r="AB9" s="1">
        <f>$O9*[4]ölçme_sistemleri!J$13</f>
        <v>1</v>
      </c>
      <c r="AC9" s="1">
        <f>$O9*[4]ölçme_sistemleri!K$13</f>
        <v>2</v>
      </c>
      <c r="AD9" s="1">
        <f>$O9*[4]ölçme_sistemleri!L$13</f>
        <v>3</v>
      </c>
      <c r="AE9" s="1">
        <f t="shared" si="2"/>
        <v>0</v>
      </c>
      <c r="AF9" s="1">
        <f t="shared" si="3"/>
        <v>0</v>
      </c>
      <c r="AG9" s="1">
        <f t="shared" si="4"/>
        <v>0</v>
      </c>
      <c r="AH9" s="1">
        <f t="shared" si="5"/>
        <v>0</v>
      </c>
      <c r="AI9" s="1">
        <v>14</v>
      </c>
      <c r="AJ9" s="1">
        <f>VLOOKUP(X9,[4]ölçme_sistemleri!I:M,5,FALSE)</f>
        <v>0</v>
      </c>
      <c r="AK9" s="1">
        <f t="shared" si="6"/>
        <v>0</v>
      </c>
      <c r="AL9" s="1">
        <f t="shared" si="26"/>
        <v>14</v>
      </c>
      <c r="AM9" s="1">
        <f>VLOOKUP(X9,[4]ölçme_sistemleri!I:N,6,FALSE)</f>
        <v>0</v>
      </c>
      <c r="AN9" s="1">
        <v>2</v>
      </c>
      <c r="AO9" s="1">
        <f t="shared" si="7"/>
        <v>0</v>
      </c>
      <c r="AP9" s="1">
        <v>14</v>
      </c>
      <c r="AQ9" s="1">
        <f t="shared" si="8"/>
        <v>14</v>
      </c>
      <c r="AR9" s="1">
        <f t="shared" si="9"/>
        <v>28</v>
      </c>
      <c r="AS9" s="1">
        <f>IF(BE9="s",25,25)</f>
        <v>25</v>
      </c>
      <c r="AT9" s="1">
        <f t="shared" si="11"/>
        <v>1</v>
      </c>
      <c r="AU9" s="1">
        <f t="shared" si="12"/>
        <v>0</v>
      </c>
      <c r="AV9" s="1">
        <f t="shared" si="13"/>
        <v>0</v>
      </c>
      <c r="AW9" s="1">
        <f t="shared" si="14"/>
        <v>0</v>
      </c>
      <c r="AX9" s="1">
        <f t="shared" si="15"/>
        <v>0</v>
      </c>
      <c r="AY9" s="1">
        <f t="shared" si="16"/>
        <v>-3</v>
      </c>
      <c r="AZ9" s="1">
        <f t="shared" si="17"/>
        <v>0</v>
      </c>
      <c r="BA9" s="1">
        <f t="shared" si="18"/>
        <v>-14</v>
      </c>
      <c r="BB9" s="1">
        <f t="shared" si="19"/>
        <v>0</v>
      </c>
      <c r="BC9" s="1">
        <f t="shared" si="20"/>
        <v>0</v>
      </c>
      <c r="BD9" s="1">
        <f t="shared" si="21"/>
        <v>0</v>
      </c>
      <c r="BE9" s="1" t="s">
        <v>65</v>
      </c>
      <c r="BF9" s="1">
        <f t="shared" si="22"/>
        <v>14</v>
      </c>
      <c r="BG9" s="1">
        <f t="shared" si="23"/>
        <v>14</v>
      </c>
      <c r="BH9" s="1">
        <f t="shared" si="24"/>
        <v>0</v>
      </c>
      <c r="BI9" s="1" t="e">
        <f>IF(BH9-#REF!=0,"DOĞRU","YANLIŞ")</f>
        <v>#REF!</v>
      </c>
      <c r="BJ9" s="1" t="e">
        <f>#REF!-BH9</f>
        <v>#REF!</v>
      </c>
      <c r="BK9" s="1">
        <v>0</v>
      </c>
      <c r="BM9" s="1">
        <v>0</v>
      </c>
      <c r="BO9" s="1">
        <v>0</v>
      </c>
      <c r="BT9" s="8">
        <f t="shared" si="25"/>
        <v>0</v>
      </c>
      <c r="BU9" s="9"/>
      <c r="BV9" s="10"/>
      <c r="BW9" s="11"/>
      <c r="BX9" s="11"/>
      <c r="BY9" s="11"/>
      <c r="BZ9" s="11"/>
      <c r="CA9" s="11"/>
      <c r="CB9" s="12"/>
      <c r="CC9" s="13"/>
      <c r="CD9" s="14"/>
      <c r="CL9" s="11"/>
      <c r="CM9" s="11"/>
      <c r="CN9" s="50"/>
      <c r="CO9" s="50"/>
      <c r="CP9" s="50"/>
      <c r="CQ9" s="54"/>
      <c r="CR9" s="46"/>
      <c r="CS9" s="54"/>
      <c r="CT9" s="48"/>
      <c r="CU9" s="48"/>
      <c r="CV9" s="48"/>
      <c r="CW9" s="49"/>
      <c r="CX9" s="49"/>
    </row>
    <row r="10" spans="1:103" hidden="1" x14ac:dyDescent="0.25">
      <c r="A10" s="1" t="s">
        <v>357</v>
      </c>
      <c r="B10" s="1" t="s">
        <v>358</v>
      </c>
      <c r="C10" s="1" t="s">
        <v>358</v>
      </c>
      <c r="D10" s="2" t="s">
        <v>63</v>
      </c>
      <c r="E10" s="2" t="s">
        <v>63</v>
      </c>
      <c r="F10" s="3" t="e">
        <f>IF(BE10="S",
IF(#REF!+BM10=2018,
IF(#REF!=1,"18-19/1",
IF(#REF!=2,"18-19/2",
IF(#REF!=3,"19-20/1",
IF(#REF!=4,"19-20/2",
IF(#REF!=5,"20-21/1",
IF(#REF!=6,"20-21/2",
IF(#REF!=7,"21-22/1",
IF(#REF!=8,"21-22/2","Hata1")))))))),
IF(#REF!+BM10=2019,
IF(#REF!=1,"19-20/1",
IF(#REF!=2,"19-20/2",
IF(#REF!=3,"20-21/1",
IF(#REF!=4,"20-21/2",
IF(#REF!=5,"21-22/1",
IF(#REF!=6,"21-22/2",
IF(#REF!=7,"22-23/1",
IF(#REF!=8,"22-23/2","Hata2")))))))),
IF(#REF!+BM10=2020,
IF(#REF!=1,"20-21/1",
IF(#REF!=2,"20-21/2",
IF(#REF!=3,"21-22/1",
IF(#REF!=4,"21-22/2",
IF(#REF!=5,"22-23/1",
IF(#REF!=6,"22-23/2",
IF(#REF!=7,"23-24/1",
IF(#REF!=8,"23-24/2","Hata3")))))))),
IF(#REF!+BM10=2021,
IF(#REF!=1,"21-22/1",
IF(#REF!=2,"21-22/2",
IF(#REF!=3,"22-23/1",
IF(#REF!=4,"22-23/2",
IF(#REF!=5,"23-24/1",
IF(#REF!=6,"23-24/2",
IF(#REF!=7,"24-25/1",
IF(#REF!=8,"24-25/2","Hata4")))))))),
IF(#REF!+BM10=2022,
IF(#REF!=1,"22-23/1",
IF(#REF!=2,"22-23/2",
IF(#REF!=3,"23-24/1",
IF(#REF!=4,"23-24/2",
IF(#REF!=5,"24-25/1",
IF(#REF!=6,"24-25/2",
IF(#REF!=7,"25-26/1",
IF(#REF!=8,"25-26/2","Hata5")))))))),
IF(#REF!+BM10=2023,
IF(#REF!=1,"23-24/1",
IF(#REF!=2,"23-24/2",
IF(#REF!=3,"24-25/1",
IF(#REF!=4,"24-25/2",
IF(#REF!=5,"25-26/1",
IF(#REF!=6,"25-26/2",
IF(#REF!=7,"26-27/1",
IF(#REF!=8,"26-27/2","Hata6")))))))),
)))))),
IF(BE10="T",
IF(#REF!+BM10=2018,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" s="1" t="s">
        <v>73</v>
      </c>
      <c r="J10" s="1">
        <v>4234782</v>
      </c>
      <c r="L10" s="2">
        <v>4366</v>
      </c>
      <c r="N10" s="2">
        <v>1</v>
      </c>
      <c r="O10" s="6">
        <f t="shared" si="0"/>
        <v>1</v>
      </c>
      <c r="P10" s="2">
        <f t="shared" si="1"/>
        <v>1</v>
      </c>
      <c r="Q10" s="2">
        <v>1</v>
      </c>
      <c r="R10" s="2">
        <v>0</v>
      </c>
      <c r="S10" s="2">
        <v>0</v>
      </c>
      <c r="X10" s="3">
        <v>0</v>
      </c>
      <c r="Y10" s="1">
        <f>VLOOKUP(X10,[4]ölçme_sistemleri!I:L,2,FALSE)</f>
        <v>0</v>
      </c>
      <c r="Z10" s="1">
        <f>VLOOKUP(X10,[4]ölçme_sistemleri!I:L,3,FALSE)</f>
        <v>0</v>
      </c>
      <c r="AA10" s="1">
        <f>VLOOKUP(X10,[4]ölçme_sistemleri!I:L,4,FALSE)</f>
        <v>0</v>
      </c>
      <c r="AB10" s="1">
        <f>$O10*[4]ölçme_sistemleri!J$13</f>
        <v>1</v>
      </c>
      <c r="AC10" s="1">
        <f>$O10*[4]ölçme_sistemleri!K$13</f>
        <v>2</v>
      </c>
      <c r="AD10" s="1">
        <f>$O10*[4]ölçme_sistemleri!L$13</f>
        <v>3</v>
      </c>
      <c r="AE10" s="1">
        <f t="shared" si="2"/>
        <v>0</v>
      </c>
      <c r="AF10" s="1">
        <f t="shared" si="3"/>
        <v>0</v>
      </c>
      <c r="AG10" s="1">
        <f t="shared" si="4"/>
        <v>0</v>
      </c>
      <c r="AH10" s="1">
        <f t="shared" si="5"/>
        <v>0</v>
      </c>
      <c r="AI10" s="1">
        <v>14</v>
      </c>
      <c r="AJ10" s="1">
        <f>VLOOKUP(X10,[4]ölçme_sistemleri!I:M,5,FALSE)</f>
        <v>0</v>
      </c>
      <c r="AK10" s="1">
        <f t="shared" si="6"/>
        <v>0</v>
      </c>
      <c r="AL10" s="1">
        <f t="shared" si="26"/>
        <v>14</v>
      </c>
      <c r="AM10" s="1">
        <f>VLOOKUP(X10,[4]ölçme_sistemleri!I:N,6,FALSE)</f>
        <v>0</v>
      </c>
      <c r="AN10" s="1">
        <v>2</v>
      </c>
      <c r="AO10" s="1">
        <f t="shared" si="7"/>
        <v>0</v>
      </c>
      <c r="AP10" s="1">
        <v>14</v>
      </c>
      <c r="AQ10" s="1">
        <f t="shared" si="8"/>
        <v>14</v>
      </c>
      <c r="AR10" s="1">
        <f t="shared" si="9"/>
        <v>28</v>
      </c>
      <c r="AS10" s="1">
        <f>IF(BE10="s",25,25)</f>
        <v>25</v>
      </c>
      <c r="AT10" s="1">
        <f t="shared" si="11"/>
        <v>1</v>
      </c>
      <c r="AU10" s="1">
        <f t="shared" si="12"/>
        <v>0</v>
      </c>
      <c r="AV10" s="1">
        <f t="shared" si="13"/>
        <v>0</v>
      </c>
      <c r="AW10" s="1">
        <f t="shared" si="14"/>
        <v>0</v>
      </c>
      <c r="AX10" s="1">
        <f t="shared" si="15"/>
        <v>0</v>
      </c>
      <c r="AY10" s="1">
        <f t="shared" si="16"/>
        <v>-3</v>
      </c>
      <c r="AZ10" s="1">
        <f t="shared" si="17"/>
        <v>0</v>
      </c>
      <c r="BA10" s="1">
        <f t="shared" si="18"/>
        <v>-14</v>
      </c>
      <c r="BB10" s="1">
        <f t="shared" si="19"/>
        <v>0</v>
      </c>
      <c r="BC10" s="1">
        <f t="shared" si="20"/>
        <v>0</v>
      </c>
      <c r="BD10" s="1">
        <f t="shared" si="21"/>
        <v>0</v>
      </c>
      <c r="BE10" s="1" t="s">
        <v>65</v>
      </c>
      <c r="BF10" s="1">
        <f t="shared" si="22"/>
        <v>14</v>
      </c>
      <c r="BG10" s="1">
        <f t="shared" si="23"/>
        <v>14</v>
      </c>
      <c r="BH10" s="1">
        <f t="shared" si="24"/>
        <v>0</v>
      </c>
      <c r="BI10" s="1" t="e">
        <f>IF(BH10-#REF!=0,"DOĞRU","YANLIŞ")</f>
        <v>#REF!</v>
      </c>
      <c r="BJ10" s="1" t="e">
        <f>#REF!-BH10</f>
        <v>#REF!</v>
      </c>
      <c r="BK10" s="1">
        <v>0</v>
      </c>
      <c r="BM10" s="1">
        <v>0</v>
      </c>
      <c r="BO10" s="1">
        <v>0</v>
      </c>
      <c r="BT10" s="8">
        <f t="shared" si="25"/>
        <v>0</v>
      </c>
      <c r="BU10" s="9"/>
      <c r="BV10" s="10"/>
      <c r="BW10" s="11"/>
      <c r="BX10" s="11"/>
      <c r="BY10" s="11"/>
      <c r="BZ10" s="11"/>
      <c r="CA10" s="11"/>
      <c r="CB10" s="12"/>
      <c r="CC10" s="13"/>
      <c r="CD10" s="14"/>
      <c r="CL10" s="11"/>
      <c r="CM10" s="11"/>
      <c r="CN10" s="11"/>
      <c r="CO10" s="11"/>
      <c r="CP10" s="50"/>
      <c r="CQ10" s="49"/>
      <c r="CR10" s="46"/>
      <c r="CS10" s="53"/>
      <c r="CT10" s="53"/>
      <c r="CU10" s="53"/>
      <c r="CV10" s="53"/>
      <c r="CW10" s="49"/>
      <c r="CX10" s="49"/>
    </row>
    <row r="11" spans="1:103" hidden="1" x14ac:dyDescent="0.25">
      <c r="A11" s="1" t="s">
        <v>357</v>
      </c>
      <c r="B11" s="1" t="s">
        <v>358</v>
      </c>
      <c r="C11" s="1" t="s">
        <v>358</v>
      </c>
      <c r="D11" s="2" t="s">
        <v>63</v>
      </c>
      <c r="E11" s="2" t="s">
        <v>63</v>
      </c>
      <c r="F11" s="3" t="e">
        <f>IF(BE11="S",
IF(#REF!+BM11=2018,
IF(#REF!=1,"18-19/1",
IF(#REF!=2,"18-19/2",
IF(#REF!=3,"19-20/1",
IF(#REF!=4,"19-20/2",
IF(#REF!=5,"20-21/1",
IF(#REF!=6,"20-21/2",
IF(#REF!=7,"21-22/1",
IF(#REF!=8,"21-22/2","Hata1")))))))),
IF(#REF!+BM11=2019,
IF(#REF!=1,"19-20/1",
IF(#REF!=2,"19-20/2",
IF(#REF!=3,"20-21/1",
IF(#REF!=4,"20-21/2",
IF(#REF!=5,"21-22/1",
IF(#REF!=6,"21-22/2",
IF(#REF!=7,"22-23/1",
IF(#REF!=8,"22-23/2","Hata2")))))))),
IF(#REF!+BM11=2020,
IF(#REF!=1,"20-21/1",
IF(#REF!=2,"20-21/2",
IF(#REF!=3,"21-22/1",
IF(#REF!=4,"21-22/2",
IF(#REF!=5,"22-23/1",
IF(#REF!=6,"22-23/2",
IF(#REF!=7,"23-24/1",
IF(#REF!=8,"23-24/2","Hata3")))))))),
IF(#REF!+BM11=2021,
IF(#REF!=1,"21-22/1",
IF(#REF!=2,"21-22/2",
IF(#REF!=3,"22-23/1",
IF(#REF!=4,"22-23/2",
IF(#REF!=5,"23-24/1",
IF(#REF!=6,"23-24/2",
IF(#REF!=7,"24-25/1",
IF(#REF!=8,"24-25/2","Hata4")))))))),
IF(#REF!+BM11=2022,
IF(#REF!=1,"22-23/1",
IF(#REF!=2,"22-23/2",
IF(#REF!=3,"23-24/1",
IF(#REF!=4,"23-24/2",
IF(#REF!=5,"24-25/1",
IF(#REF!=6,"24-25/2",
IF(#REF!=7,"25-26/1",
IF(#REF!=8,"25-26/2","Hata5")))))))),
IF(#REF!+BM11=2023,
IF(#REF!=1,"23-24/1",
IF(#REF!=2,"23-24/2",
IF(#REF!=3,"24-25/1",
IF(#REF!=4,"24-25/2",
IF(#REF!=5,"25-26/1",
IF(#REF!=6,"25-26/2",
IF(#REF!=7,"26-27/1",
IF(#REF!=8,"26-27/2","Hata6")))))))),
)))))),
IF(BE11="T",
IF(#REF!+BM11=2018,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" s="1" t="s">
        <v>73</v>
      </c>
      <c r="J11" s="1">
        <v>4234782</v>
      </c>
      <c r="L11" s="2">
        <v>4366</v>
      </c>
      <c r="N11" s="2">
        <v>1</v>
      </c>
      <c r="O11" s="6">
        <f t="shared" si="0"/>
        <v>1</v>
      </c>
      <c r="P11" s="2">
        <f t="shared" si="1"/>
        <v>1</v>
      </c>
      <c r="Q11" s="2">
        <v>1</v>
      </c>
      <c r="R11" s="2">
        <v>0</v>
      </c>
      <c r="S11" s="2">
        <v>0</v>
      </c>
      <c r="X11" s="3">
        <v>0</v>
      </c>
      <c r="Y11" s="1">
        <f>VLOOKUP(X11,[4]ölçme_sistemleri!I:L,2,FALSE)</f>
        <v>0</v>
      </c>
      <c r="Z11" s="1">
        <f>VLOOKUP(X11,[4]ölçme_sistemleri!I:L,3,FALSE)</f>
        <v>0</v>
      </c>
      <c r="AA11" s="1">
        <f>VLOOKUP(X11,[4]ölçme_sistemleri!I:L,4,FALSE)</f>
        <v>0</v>
      </c>
      <c r="AB11" s="1">
        <f>$O11*[4]ölçme_sistemleri!J$13</f>
        <v>1</v>
      </c>
      <c r="AC11" s="1">
        <f>$O11*[4]ölçme_sistemleri!K$13</f>
        <v>2</v>
      </c>
      <c r="AD11" s="1">
        <f>$O11*[4]ölçme_sistemleri!L$13</f>
        <v>3</v>
      </c>
      <c r="AE11" s="1">
        <f t="shared" si="2"/>
        <v>0</v>
      </c>
      <c r="AF11" s="1">
        <f t="shared" si="3"/>
        <v>0</v>
      </c>
      <c r="AG11" s="1">
        <f t="shared" si="4"/>
        <v>0</v>
      </c>
      <c r="AH11" s="1">
        <f t="shared" si="5"/>
        <v>0</v>
      </c>
      <c r="AI11" s="1">
        <v>14</v>
      </c>
      <c r="AJ11" s="1">
        <f>VLOOKUP(X11,[4]ölçme_sistemleri!I:M,5,FALSE)</f>
        <v>0</v>
      </c>
      <c r="AK11" s="1">
        <f t="shared" si="6"/>
        <v>0</v>
      </c>
      <c r="AL11" s="1">
        <f t="shared" si="26"/>
        <v>14</v>
      </c>
      <c r="AM11" s="1">
        <f>VLOOKUP(X11,[4]ölçme_sistemleri!I:N,6,FALSE)</f>
        <v>0</v>
      </c>
      <c r="AN11" s="1">
        <v>2</v>
      </c>
      <c r="AO11" s="1">
        <f t="shared" si="7"/>
        <v>0</v>
      </c>
      <c r="AP11" s="1">
        <v>14</v>
      </c>
      <c r="AQ11" s="1">
        <f t="shared" si="8"/>
        <v>14</v>
      </c>
      <c r="AR11" s="1">
        <f t="shared" si="9"/>
        <v>28</v>
      </c>
      <c r="AS11" s="1">
        <f>IF(BE11="s",25,25)</f>
        <v>25</v>
      </c>
      <c r="AT11" s="1">
        <f t="shared" si="11"/>
        <v>1</v>
      </c>
      <c r="AU11" s="1">
        <f t="shared" si="12"/>
        <v>0</v>
      </c>
      <c r="AV11" s="1">
        <f t="shared" si="13"/>
        <v>0</v>
      </c>
      <c r="AW11" s="1">
        <f t="shared" si="14"/>
        <v>0</v>
      </c>
      <c r="AX11" s="1">
        <f t="shared" si="15"/>
        <v>0</v>
      </c>
      <c r="AY11" s="1">
        <f t="shared" si="16"/>
        <v>-3</v>
      </c>
      <c r="AZ11" s="1">
        <f t="shared" si="17"/>
        <v>0</v>
      </c>
      <c r="BA11" s="1">
        <f t="shared" si="18"/>
        <v>-14</v>
      </c>
      <c r="BB11" s="1">
        <f t="shared" si="19"/>
        <v>0</v>
      </c>
      <c r="BC11" s="1">
        <f t="shared" si="20"/>
        <v>0</v>
      </c>
      <c r="BD11" s="1">
        <f t="shared" si="21"/>
        <v>0</v>
      </c>
      <c r="BE11" s="1" t="s">
        <v>65</v>
      </c>
      <c r="BF11" s="1">
        <f t="shared" si="22"/>
        <v>14</v>
      </c>
      <c r="BG11" s="1">
        <f t="shared" si="23"/>
        <v>14</v>
      </c>
      <c r="BH11" s="1">
        <f t="shared" si="24"/>
        <v>0</v>
      </c>
      <c r="BI11" s="1" t="e">
        <f>IF(BH11-#REF!=0,"DOĞRU","YANLIŞ")</f>
        <v>#REF!</v>
      </c>
      <c r="BJ11" s="1" t="e">
        <f>#REF!-BH11</f>
        <v>#REF!</v>
      </c>
      <c r="BK11" s="1">
        <v>0</v>
      </c>
      <c r="BM11" s="1">
        <v>0</v>
      </c>
      <c r="BO11" s="1">
        <v>0</v>
      </c>
      <c r="BT11" s="8">
        <f t="shared" si="25"/>
        <v>0</v>
      </c>
      <c r="BU11" s="9"/>
      <c r="BV11" s="10"/>
      <c r="BW11" s="11"/>
      <c r="BX11" s="11"/>
      <c r="BY11" s="11"/>
      <c r="BZ11" s="11"/>
      <c r="CA11" s="11"/>
      <c r="CB11" s="12"/>
      <c r="CC11" s="13"/>
      <c r="CD11" s="14"/>
      <c r="CL11" s="11"/>
      <c r="CM11" s="11"/>
      <c r="CN11" s="11"/>
      <c r="CO11" s="11"/>
      <c r="CP11" s="11"/>
      <c r="CQ11" s="49"/>
      <c r="CR11" s="46"/>
      <c r="CS11" s="48"/>
      <c r="CT11" s="48"/>
      <c r="CU11" s="48"/>
      <c r="CV11" s="48"/>
      <c r="CW11" s="49"/>
      <c r="CX11" s="49"/>
    </row>
    <row r="12" spans="1:103" hidden="1" x14ac:dyDescent="0.25">
      <c r="A12" s="1" t="s">
        <v>85</v>
      </c>
      <c r="B12" s="1" t="s">
        <v>86</v>
      </c>
      <c r="C12" s="1" t="s">
        <v>86</v>
      </c>
      <c r="D12" s="2" t="s">
        <v>63</v>
      </c>
      <c r="E12" s="2" t="s">
        <v>63</v>
      </c>
      <c r="F12" s="3" t="e">
        <f>IF(BE12="S",
IF(#REF!+BM12=2018,
IF(#REF!=1,"18-19/1",
IF(#REF!=2,"18-19/2",
IF(#REF!=3,"19-20/1",
IF(#REF!=4,"19-20/2",
IF(#REF!=5,"20-21/1",
IF(#REF!=6,"20-21/2",
IF(#REF!=7,"21-22/1",
IF(#REF!=8,"21-22/2","Hata1")))))))),
IF(#REF!+BM12=2019,
IF(#REF!=1,"19-20/1",
IF(#REF!=2,"19-20/2",
IF(#REF!=3,"20-21/1",
IF(#REF!=4,"20-21/2",
IF(#REF!=5,"21-22/1",
IF(#REF!=6,"21-22/2",
IF(#REF!=7,"22-23/1",
IF(#REF!=8,"22-23/2","Hata2")))))))),
IF(#REF!+BM12=2020,
IF(#REF!=1,"20-21/1",
IF(#REF!=2,"20-21/2",
IF(#REF!=3,"21-22/1",
IF(#REF!=4,"21-22/2",
IF(#REF!=5,"22-23/1",
IF(#REF!=6,"22-23/2",
IF(#REF!=7,"23-24/1",
IF(#REF!=8,"23-24/2","Hata3")))))))),
IF(#REF!+BM12=2021,
IF(#REF!=1,"21-22/1",
IF(#REF!=2,"21-22/2",
IF(#REF!=3,"22-23/1",
IF(#REF!=4,"22-23/2",
IF(#REF!=5,"23-24/1",
IF(#REF!=6,"23-24/2",
IF(#REF!=7,"24-25/1",
IF(#REF!=8,"24-25/2","Hata4")))))))),
IF(#REF!+BM12=2022,
IF(#REF!=1,"22-23/1",
IF(#REF!=2,"22-23/2",
IF(#REF!=3,"23-24/1",
IF(#REF!=4,"23-24/2",
IF(#REF!=5,"24-25/1",
IF(#REF!=6,"24-25/2",
IF(#REF!=7,"25-26/1",
IF(#REF!=8,"25-26/2","Hata5")))))))),
IF(#REF!+BM12=2023,
IF(#REF!=1,"23-24/1",
IF(#REF!=2,"23-24/2",
IF(#REF!=3,"24-25/1",
IF(#REF!=4,"24-25/2",
IF(#REF!=5,"25-26/1",
IF(#REF!=6,"25-26/2",
IF(#REF!=7,"26-27/1",
IF(#REF!=8,"26-27/2","Hata6")))))))),
)))))),
IF(BE12="T",
IF(#REF!+BM12=2018,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" s="1" t="s">
        <v>73</v>
      </c>
      <c r="J12" s="1">
        <v>4234782</v>
      </c>
      <c r="L12" s="2">
        <v>3429</v>
      </c>
      <c r="N12" s="2">
        <v>5</v>
      </c>
      <c r="O12" s="6">
        <f t="shared" si="0"/>
        <v>3</v>
      </c>
      <c r="P12" s="2">
        <f t="shared" si="1"/>
        <v>3</v>
      </c>
      <c r="Q12" s="2">
        <v>3</v>
      </c>
      <c r="R12" s="2">
        <v>0</v>
      </c>
      <c r="S12" s="2">
        <v>0</v>
      </c>
      <c r="X12" s="3">
        <v>3</v>
      </c>
      <c r="Y12" s="1">
        <f>VLOOKUP($X12,[5]ölçme_sistemleri!I$1:L$65536,2,FALSE)</f>
        <v>2</v>
      </c>
      <c r="Z12" s="1">
        <f>VLOOKUP($X12,[5]ölçme_sistemleri!I$1:L$65536,3,FALSE)</f>
        <v>1</v>
      </c>
      <c r="AA12" s="1">
        <f>VLOOKUP($X12,[5]ölçme_sistemleri!I$1:L$65536,4,FALSE)</f>
        <v>1</v>
      </c>
      <c r="AB12" s="1">
        <f>$O12*[5]ölçme_sistemleri!J$13</f>
        <v>3</v>
      </c>
      <c r="AC12" s="1">
        <f>$O12*[5]ölçme_sistemleri!K$13</f>
        <v>6</v>
      </c>
      <c r="AD12" s="1">
        <f>$O12*[5]ölçme_sistemleri!L$13</f>
        <v>9</v>
      </c>
      <c r="AE12" s="1">
        <f t="shared" si="2"/>
        <v>6</v>
      </c>
      <c r="AF12" s="1">
        <f t="shared" si="3"/>
        <v>6</v>
      </c>
      <c r="AG12" s="1">
        <f t="shared" si="4"/>
        <v>9</v>
      </c>
      <c r="AH12" s="1">
        <f t="shared" si="5"/>
        <v>21</v>
      </c>
      <c r="AI12" s="1">
        <v>14</v>
      </c>
      <c r="AJ12" s="1">
        <f>VLOOKUP(X12,[5]ölçme_sistemleri!I$1:M$65536,5,FALSE)</f>
        <v>3</v>
      </c>
      <c r="AK12" s="1">
        <f t="shared" si="6"/>
        <v>294</v>
      </c>
      <c r="AL12" s="1">
        <f>AI12*4</f>
        <v>56</v>
      </c>
      <c r="AM12" s="1">
        <f>VLOOKUP(X12,[5]ölçme_sistemleri!I$1:N$65536,6,FALSE)</f>
        <v>4</v>
      </c>
      <c r="AN12" s="1">
        <v>2</v>
      </c>
      <c r="AO12" s="1">
        <f t="shared" si="7"/>
        <v>8</v>
      </c>
      <c r="AP12" s="1">
        <v>14</v>
      </c>
      <c r="AQ12" s="1">
        <f t="shared" si="8"/>
        <v>42</v>
      </c>
      <c r="AR12" s="1">
        <f t="shared" si="9"/>
        <v>127</v>
      </c>
      <c r="AS12" s="1">
        <f t="shared" ref="AS12:AS18" si="27">IF(BE12="s",25,30)</f>
        <v>25</v>
      </c>
      <c r="AT12" s="1">
        <f t="shared" si="11"/>
        <v>5</v>
      </c>
      <c r="AU12" s="1">
        <f t="shared" si="12"/>
        <v>0</v>
      </c>
      <c r="AV12" s="1">
        <f t="shared" si="13"/>
        <v>0</v>
      </c>
      <c r="AW12" s="1">
        <f t="shared" si="14"/>
        <v>0</v>
      </c>
      <c r="AX12" s="1">
        <f t="shared" si="15"/>
        <v>0</v>
      </c>
      <c r="AY12" s="1">
        <f t="shared" si="16"/>
        <v>-21</v>
      </c>
      <c r="AZ12" s="1">
        <f t="shared" si="17"/>
        <v>0</v>
      </c>
      <c r="BA12" s="1">
        <f t="shared" si="18"/>
        <v>-56</v>
      </c>
      <c r="BB12" s="1">
        <f t="shared" si="19"/>
        <v>0</v>
      </c>
      <c r="BC12" s="1">
        <f t="shared" si="20"/>
        <v>-8</v>
      </c>
      <c r="BD12" s="1">
        <f t="shared" si="21"/>
        <v>0</v>
      </c>
      <c r="BE12" s="1" t="s">
        <v>65</v>
      </c>
      <c r="BF12" s="1">
        <f t="shared" si="22"/>
        <v>42</v>
      </c>
      <c r="BG12" s="1">
        <f t="shared" si="23"/>
        <v>42</v>
      </c>
      <c r="BH12" s="1">
        <f t="shared" si="24"/>
        <v>1</v>
      </c>
      <c r="BI12" s="1" t="e">
        <f>IF(BH12-#REF!=0,"DOĞRU","YANLIŞ")</f>
        <v>#REF!</v>
      </c>
      <c r="BJ12" s="1" t="e">
        <f>#REF!-BH12</f>
        <v>#REF!</v>
      </c>
      <c r="BK12" s="1">
        <v>0</v>
      </c>
      <c r="BM12" s="1">
        <v>0</v>
      </c>
      <c r="BO12" s="1">
        <v>2</v>
      </c>
      <c r="BT12" s="8">
        <f t="shared" si="25"/>
        <v>0</v>
      </c>
      <c r="BU12" s="9"/>
      <c r="BV12" s="10"/>
      <c r="BW12" s="11"/>
      <c r="BX12" s="11"/>
      <c r="BY12" s="11"/>
      <c r="BZ12" s="11"/>
      <c r="CA12" s="11"/>
      <c r="CB12" s="12"/>
      <c r="CC12" s="13"/>
      <c r="CD12" s="14"/>
      <c r="CL12" s="11"/>
      <c r="CM12" s="11"/>
      <c r="CN12" s="11"/>
      <c r="CO12" s="11"/>
      <c r="CP12" s="50"/>
      <c r="CQ12" s="49"/>
      <c r="CR12" s="46"/>
      <c r="CS12" s="49"/>
      <c r="CT12" s="48"/>
      <c r="CU12" s="49"/>
      <c r="CV12" s="48"/>
      <c r="CW12" s="49"/>
      <c r="CX12" s="49"/>
    </row>
    <row r="13" spans="1:103" hidden="1" x14ac:dyDescent="0.25">
      <c r="A13" s="1" t="s">
        <v>76</v>
      </c>
      <c r="B13" s="1" t="s">
        <v>77</v>
      </c>
      <c r="C13" s="1" t="s">
        <v>77</v>
      </c>
      <c r="D13" s="2" t="s">
        <v>58</v>
      </c>
      <c r="E13" s="2" t="s">
        <v>58</v>
      </c>
      <c r="F13" s="3" t="e">
        <f>IF(BE13="S",
IF(#REF!+BM13=2018,
IF(#REF!=1,"18-19/1",
IF(#REF!=2,"18-19/2",
IF(#REF!=3,"19-20/1",
IF(#REF!=4,"19-20/2",
IF(#REF!=5,"20-21/1",
IF(#REF!=6,"20-21/2",
IF(#REF!=7,"21-22/1",
IF(#REF!=8,"21-22/2","Hata1")))))))),
IF(#REF!+BM13=2019,
IF(#REF!=1,"19-20/1",
IF(#REF!=2,"19-20/2",
IF(#REF!=3,"20-21/1",
IF(#REF!=4,"20-21/2",
IF(#REF!=5,"21-22/1",
IF(#REF!=6,"21-22/2",
IF(#REF!=7,"22-23/1",
IF(#REF!=8,"22-23/2","Hata2")))))))),
IF(#REF!+BM13=2020,
IF(#REF!=1,"20-21/1",
IF(#REF!=2,"20-21/2",
IF(#REF!=3,"21-22/1",
IF(#REF!=4,"21-22/2",
IF(#REF!=5,"22-23/1",
IF(#REF!=6,"22-23/2",
IF(#REF!=7,"23-24/1",
IF(#REF!=8,"23-24/2","Hata3")))))))),
IF(#REF!+BM13=2021,
IF(#REF!=1,"21-22/1",
IF(#REF!=2,"21-22/2",
IF(#REF!=3,"22-23/1",
IF(#REF!=4,"22-23/2",
IF(#REF!=5,"23-24/1",
IF(#REF!=6,"23-24/2",
IF(#REF!=7,"24-25/1",
IF(#REF!=8,"24-25/2","Hata4")))))))),
IF(#REF!+BM13=2022,
IF(#REF!=1,"22-23/1",
IF(#REF!=2,"22-23/2",
IF(#REF!=3,"23-24/1",
IF(#REF!=4,"23-24/2",
IF(#REF!=5,"24-25/1",
IF(#REF!=6,"24-25/2",
IF(#REF!=7,"25-26/1",
IF(#REF!=8,"25-26/2","Hata5")))))))),
IF(#REF!+BM13=2023,
IF(#REF!=1,"23-24/1",
IF(#REF!=2,"23-24/2",
IF(#REF!=3,"24-25/1",
IF(#REF!=4,"24-25/2",
IF(#REF!=5,"25-26/1",
IF(#REF!=6,"25-26/2",
IF(#REF!=7,"26-27/1",
IF(#REF!=8,"26-27/2","Hata6")))))))),
)))))),
IF(BE13="T",
IF(#REF!+BM13=2018,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" s="1" t="s">
        <v>73</v>
      </c>
      <c r="J13" s="1">
        <v>4234782</v>
      </c>
      <c r="L13" s="2">
        <v>3403</v>
      </c>
      <c r="N13" s="2">
        <v>4</v>
      </c>
      <c r="O13" s="6">
        <f t="shared" si="0"/>
        <v>2</v>
      </c>
      <c r="P13" s="2">
        <f t="shared" si="1"/>
        <v>2</v>
      </c>
      <c r="Q13" s="2">
        <v>0</v>
      </c>
      <c r="R13" s="2">
        <v>0</v>
      </c>
      <c r="S13" s="2">
        <v>2</v>
      </c>
      <c r="X13" s="3">
        <v>7</v>
      </c>
      <c r="Y13" s="1">
        <f>VLOOKUP($X13,[5]ölçme_sistemleri!I$1:L$65536,2,FALSE)</f>
        <v>0</v>
      </c>
      <c r="Z13" s="1">
        <f>VLOOKUP($X13,[5]ölçme_sistemleri!I$1:L$65536,3,FALSE)</f>
        <v>1</v>
      </c>
      <c r="AA13" s="1">
        <f>VLOOKUP($X13,[5]ölçme_sistemleri!I$1:L$65536,4,FALSE)</f>
        <v>1</v>
      </c>
      <c r="AB13" s="1">
        <f>$O13*[5]ölçme_sistemleri!J$13</f>
        <v>2</v>
      </c>
      <c r="AC13" s="1">
        <f>$O13*[5]ölçme_sistemleri!K$13</f>
        <v>4</v>
      </c>
      <c r="AD13" s="1">
        <f>$O13*[5]ölçme_sistemleri!L$13</f>
        <v>6</v>
      </c>
      <c r="AE13" s="1">
        <f t="shared" si="2"/>
        <v>0</v>
      </c>
      <c r="AF13" s="1">
        <f t="shared" si="3"/>
        <v>4</v>
      </c>
      <c r="AG13" s="1">
        <f t="shared" si="4"/>
        <v>6</v>
      </c>
      <c r="AH13" s="1">
        <f t="shared" si="5"/>
        <v>10</v>
      </c>
      <c r="AI13" s="1">
        <v>14</v>
      </c>
      <c r="AJ13" s="1">
        <f>VLOOKUP(X13,[5]ölçme_sistemleri!I$1:M$65536,5,FALSE)</f>
        <v>1</v>
      </c>
      <c r="AK13" s="1">
        <f t="shared" si="6"/>
        <v>140</v>
      </c>
      <c r="AL13" s="1">
        <f>AI13*4</f>
        <v>56</v>
      </c>
      <c r="AM13" s="1">
        <f>VLOOKUP(X13,[5]ölçme_sistemleri!I$1:N$65536,6,FALSE)</f>
        <v>2</v>
      </c>
      <c r="AN13" s="1">
        <v>2</v>
      </c>
      <c r="AO13" s="1">
        <f t="shared" si="7"/>
        <v>4</v>
      </c>
      <c r="AP13" s="1">
        <v>14</v>
      </c>
      <c r="AQ13" s="1">
        <f t="shared" si="8"/>
        <v>28</v>
      </c>
      <c r="AR13" s="1">
        <f t="shared" si="9"/>
        <v>98</v>
      </c>
      <c r="AS13" s="1">
        <f t="shared" si="27"/>
        <v>25</v>
      </c>
      <c r="AT13" s="1">
        <f t="shared" si="11"/>
        <v>4</v>
      </c>
      <c r="AU13" s="1">
        <f t="shared" si="12"/>
        <v>0</v>
      </c>
      <c r="AV13" s="1">
        <f t="shared" si="13"/>
        <v>0</v>
      </c>
      <c r="AW13" s="1">
        <f t="shared" si="14"/>
        <v>0</v>
      </c>
      <c r="AX13" s="1">
        <f t="shared" si="15"/>
        <v>0</v>
      </c>
      <c r="AY13" s="1">
        <f t="shared" si="16"/>
        <v>-10</v>
      </c>
      <c r="AZ13" s="1">
        <f t="shared" si="17"/>
        <v>0</v>
      </c>
      <c r="BA13" s="1">
        <f t="shared" si="18"/>
        <v>-56</v>
      </c>
      <c r="BB13" s="1">
        <f t="shared" si="19"/>
        <v>0</v>
      </c>
      <c r="BC13" s="1">
        <f t="shared" si="20"/>
        <v>-4</v>
      </c>
      <c r="BD13" s="1">
        <f t="shared" si="21"/>
        <v>0</v>
      </c>
      <c r="BE13" s="1" t="s">
        <v>65</v>
      </c>
      <c r="BF13" s="1">
        <f t="shared" si="22"/>
        <v>28</v>
      </c>
      <c r="BG13" s="1">
        <f t="shared" si="23"/>
        <v>28</v>
      </c>
      <c r="BH13" s="1">
        <f t="shared" si="24"/>
        <v>1</v>
      </c>
      <c r="BI13" s="1" t="e">
        <f>IF(BH13-#REF!=0,"DOĞRU","YANLIŞ")</f>
        <v>#REF!</v>
      </c>
      <c r="BJ13" s="1" t="e">
        <f>#REF!-BH13</f>
        <v>#REF!</v>
      </c>
      <c r="BK13" s="1">
        <v>0</v>
      </c>
      <c r="BM13" s="1">
        <v>0</v>
      </c>
      <c r="BO13" s="1">
        <v>0</v>
      </c>
      <c r="BT13" s="8">
        <f t="shared" si="25"/>
        <v>0</v>
      </c>
      <c r="BU13" s="9"/>
      <c r="BV13" s="10"/>
      <c r="BW13" s="11"/>
      <c r="BX13" s="11"/>
      <c r="BY13" s="11"/>
      <c r="BZ13" s="11"/>
      <c r="CA13" s="11"/>
      <c r="CB13" s="12"/>
      <c r="CC13" s="13"/>
      <c r="CD13" s="14"/>
      <c r="CL13" s="11"/>
      <c r="CM13" s="11"/>
      <c r="CN13" s="11"/>
      <c r="CO13" s="11"/>
      <c r="CP13" s="11"/>
      <c r="CQ13" s="54"/>
      <c r="CR13" s="55"/>
      <c r="CS13" s="49"/>
      <c r="CT13" s="46"/>
      <c r="CU13" s="49"/>
      <c r="CV13" s="46"/>
      <c r="CW13" s="49"/>
      <c r="CX13" s="49"/>
    </row>
    <row r="14" spans="1:103" hidden="1" x14ac:dyDescent="0.25">
      <c r="A14" s="1" t="s">
        <v>115</v>
      </c>
      <c r="B14" s="1" t="s">
        <v>116</v>
      </c>
      <c r="C14" s="1" t="s">
        <v>116</v>
      </c>
      <c r="D14" s="2" t="s">
        <v>63</v>
      </c>
      <c r="E14" s="2" t="s">
        <v>63</v>
      </c>
      <c r="F14" s="3" t="e">
        <f>IF(BE14="S",
IF(#REF!+BM14=2018,
IF(#REF!=1,"18-19/1",
IF(#REF!=2,"18-19/2",
IF(#REF!=3,"19-20/1",
IF(#REF!=4,"19-20/2",
IF(#REF!=5,"20-21/1",
IF(#REF!=6,"20-21/2",
IF(#REF!=7,"21-22/1",
IF(#REF!=8,"21-22/2","Hata1")))))))),
IF(#REF!+BM14=2019,
IF(#REF!=1,"19-20/1",
IF(#REF!=2,"19-20/2",
IF(#REF!=3,"20-21/1",
IF(#REF!=4,"20-21/2",
IF(#REF!=5,"21-22/1",
IF(#REF!=6,"21-22/2",
IF(#REF!=7,"22-23/1",
IF(#REF!=8,"22-23/2","Hata2")))))))),
IF(#REF!+BM14=2020,
IF(#REF!=1,"20-21/1",
IF(#REF!=2,"20-21/2",
IF(#REF!=3,"21-22/1",
IF(#REF!=4,"21-22/2",
IF(#REF!=5,"22-23/1",
IF(#REF!=6,"22-23/2",
IF(#REF!=7,"23-24/1",
IF(#REF!=8,"23-24/2","Hata3")))))))),
IF(#REF!+BM14=2021,
IF(#REF!=1,"21-22/1",
IF(#REF!=2,"21-22/2",
IF(#REF!=3,"22-23/1",
IF(#REF!=4,"22-23/2",
IF(#REF!=5,"23-24/1",
IF(#REF!=6,"23-24/2",
IF(#REF!=7,"24-25/1",
IF(#REF!=8,"24-25/2","Hata4")))))))),
IF(#REF!+BM14=2022,
IF(#REF!=1,"22-23/1",
IF(#REF!=2,"22-23/2",
IF(#REF!=3,"23-24/1",
IF(#REF!=4,"23-24/2",
IF(#REF!=5,"24-25/1",
IF(#REF!=6,"24-25/2",
IF(#REF!=7,"25-26/1",
IF(#REF!=8,"25-26/2","Hata5")))))))),
IF(#REF!+BM14=2023,
IF(#REF!=1,"23-24/1",
IF(#REF!=2,"23-24/2",
IF(#REF!=3,"24-25/1",
IF(#REF!=4,"24-25/2",
IF(#REF!=5,"25-26/1",
IF(#REF!=6,"25-26/2",
IF(#REF!=7,"26-27/1",
IF(#REF!=8,"26-27/2","Hata6")))))))),
)))))),
IF(BE14="T",
IF(#REF!+BM14=2018,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" s="1" t="s">
        <v>73</v>
      </c>
      <c r="J14" s="1">
        <v>4234782</v>
      </c>
      <c r="L14" s="2">
        <v>1044</v>
      </c>
      <c r="N14" s="2">
        <v>4</v>
      </c>
      <c r="O14" s="6">
        <f t="shared" si="0"/>
        <v>3</v>
      </c>
      <c r="P14" s="2">
        <f t="shared" si="1"/>
        <v>4</v>
      </c>
      <c r="Q14" s="2">
        <v>2</v>
      </c>
      <c r="R14" s="2">
        <v>2</v>
      </c>
      <c r="S14" s="2">
        <v>0</v>
      </c>
      <c r="X14" s="3">
        <v>2</v>
      </c>
      <c r="Y14" s="1">
        <f>VLOOKUP(X14,[2]ölçme_sistemleri!I:L,2,FALSE)</f>
        <v>0</v>
      </c>
      <c r="Z14" s="1">
        <f>VLOOKUP(X14,[2]ölçme_sistemleri!I:L,3,FALSE)</f>
        <v>2</v>
      </c>
      <c r="AA14" s="1">
        <f>VLOOKUP(X14,[2]ölçme_sistemleri!I:L,4,FALSE)</f>
        <v>1</v>
      </c>
      <c r="AB14" s="1">
        <f>$O14*[2]ölçme_sistemleri!$J$13</f>
        <v>3</v>
      </c>
      <c r="AC14" s="1">
        <f>$O14*[2]ölçme_sistemleri!$K$13</f>
        <v>6</v>
      </c>
      <c r="AD14" s="1">
        <f>$O14*[2]ölçme_sistemleri!$L$13</f>
        <v>9</v>
      </c>
      <c r="AE14" s="1">
        <f t="shared" si="2"/>
        <v>0</v>
      </c>
      <c r="AF14" s="1">
        <f t="shared" si="3"/>
        <v>12</v>
      </c>
      <c r="AG14" s="1">
        <f t="shared" si="4"/>
        <v>9</v>
      </c>
      <c r="AH14" s="1">
        <f t="shared" si="5"/>
        <v>21</v>
      </c>
      <c r="AI14" s="1">
        <v>14</v>
      </c>
      <c r="AJ14" s="1">
        <f>VLOOKUP(X14,[2]ölçme_sistemleri!I:M,5,FALSE)</f>
        <v>2</v>
      </c>
      <c r="AK14" s="1">
        <f t="shared" si="6"/>
        <v>294</v>
      </c>
      <c r="AL14" s="1">
        <f>(Q14+S14)*AI14</f>
        <v>28</v>
      </c>
      <c r="AM14" s="1">
        <f>VLOOKUP(X14,[2]ölçme_sistemleri!I:N,6,FALSE)</f>
        <v>3</v>
      </c>
      <c r="AN14" s="1">
        <v>2</v>
      </c>
      <c r="AO14" s="1">
        <f t="shared" si="7"/>
        <v>6</v>
      </c>
      <c r="AP14" s="1">
        <v>14</v>
      </c>
      <c r="AQ14" s="1">
        <f t="shared" si="8"/>
        <v>56</v>
      </c>
      <c r="AR14" s="1">
        <f t="shared" si="9"/>
        <v>111</v>
      </c>
      <c r="AS14" s="1">
        <f t="shared" si="27"/>
        <v>25</v>
      </c>
      <c r="AT14" s="1">
        <f t="shared" si="11"/>
        <v>4</v>
      </c>
      <c r="AU14" s="1">
        <f t="shared" si="12"/>
        <v>0</v>
      </c>
      <c r="AV14" s="1">
        <f t="shared" si="13"/>
        <v>0</v>
      </c>
      <c r="AW14" s="1">
        <f t="shared" si="14"/>
        <v>0</v>
      </c>
      <c r="AX14" s="1">
        <f t="shared" si="15"/>
        <v>0</v>
      </c>
      <c r="AY14" s="1">
        <f t="shared" si="16"/>
        <v>-21</v>
      </c>
      <c r="AZ14" s="1">
        <f t="shared" si="17"/>
        <v>0</v>
      </c>
      <c r="BA14" s="1">
        <f t="shared" si="18"/>
        <v>-28</v>
      </c>
      <c r="BB14" s="1">
        <f t="shared" si="19"/>
        <v>0</v>
      </c>
      <c r="BC14" s="1">
        <f t="shared" si="20"/>
        <v>-6</v>
      </c>
      <c r="BD14" s="1">
        <f t="shared" si="21"/>
        <v>0</v>
      </c>
      <c r="BE14" s="1" t="s">
        <v>65</v>
      </c>
      <c r="BF14" s="1">
        <f t="shared" si="22"/>
        <v>42</v>
      </c>
      <c r="BG14" s="1">
        <f t="shared" si="23"/>
        <v>42</v>
      </c>
      <c r="BH14" s="1">
        <f t="shared" si="24"/>
        <v>1</v>
      </c>
      <c r="BI14" s="1" t="e">
        <f>IF(BH14-#REF!=0,"DOĞRU","YANLIŞ")</f>
        <v>#REF!</v>
      </c>
      <c r="BJ14" s="1" t="e">
        <f>#REF!-BH14</f>
        <v>#REF!</v>
      </c>
      <c r="BK14" s="1">
        <v>0</v>
      </c>
      <c r="BM14" s="1">
        <v>0</v>
      </c>
      <c r="BO14" s="1">
        <v>2</v>
      </c>
      <c r="BT14" s="8">
        <f t="shared" si="25"/>
        <v>28</v>
      </c>
      <c r="BU14" s="9"/>
      <c r="BV14" s="10"/>
      <c r="BW14" s="11"/>
      <c r="BX14" s="11"/>
      <c r="BY14" s="11"/>
      <c r="BZ14" s="11"/>
      <c r="CA14" s="11"/>
      <c r="CB14" s="12"/>
      <c r="CC14" s="13"/>
      <c r="CD14" s="14"/>
      <c r="CL14" s="11"/>
      <c r="CM14" s="11"/>
      <c r="CN14" s="11"/>
      <c r="CO14" s="11"/>
      <c r="CP14" s="11"/>
      <c r="CQ14" s="49"/>
      <c r="CR14" s="46"/>
      <c r="CS14" s="48"/>
      <c r="CT14" s="48"/>
      <c r="CU14" s="48"/>
      <c r="CV14" s="48"/>
      <c r="CW14" s="49"/>
      <c r="CX14" s="49"/>
    </row>
    <row r="15" spans="1:103" hidden="1" x14ac:dyDescent="0.25">
      <c r="A15" s="1" t="s">
        <v>71</v>
      </c>
      <c r="B15" s="1" t="s">
        <v>72</v>
      </c>
      <c r="C15" s="1" t="s">
        <v>72</v>
      </c>
      <c r="D15" s="2" t="s">
        <v>63</v>
      </c>
      <c r="E15" s="2" t="s">
        <v>63</v>
      </c>
      <c r="F15" s="3" t="e">
        <f>IF(BE15="S",
IF(#REF!+BM15=2018,
IF(#REF!=1,"18-19/1",
IF(#REF!=2,"18-19/2",
IF(#REF!=3,"19-20/1",
IF(#REF!=4,"19-20/2",
IF(#REF!=5,"20-21/1",
IF(#REF!=6,"20-21/2",
IF(#REF!=7,"21-22/1",
IF(#REF!=8,"21-22/2","Hata1")))))))),
IF(#REF!+BM15=2019,
IF(#REF!=1,"19-20/1",
IF(#REF!=2,"19-20/2",
IF(#REF!=3,"20-21/1",
IF(#REF!=4,"20-21/2",
IF(#REF!=5,"21-22/1",
IF(#REF!=6,"21-22/2",
IF(#REF!=7,"22-23/1",
IF(#REF!=8,"22-23/2","Hata2")))))))),
IF(#REF!+BM15=2020,
IF(#REF!=1,"20-21/1",
IF(#REF!=2,"20-21/2",
IF(#REF!=3,"21-22/1",
IF(#REF!=4,"21-22/2",
IF(#REF!=5,"22-23/1",
IF(#REF!=6,"22-23/2",
IF(#REF!=7,"23-24/1",
IF(#REF!=8,"23-24/2","Hata3")))))))),
IF(#REF!+BM15=2021,
IF(#REF!=1,"21-22/1",
IF(#REF!=2,"21-22/2",
IF(#REF!=3,"22-23/1",
IF(#REF!=4,"22-23/2",
IF(#REF!=5,"23-24/1",
IF(#REF!=6,"23-24/2",
IF(#REF!=7,"24-25/1",
IF(#REF!=8,"24-25/2","Hata4")))))))),
IF(#REF!+BM15=2022,
IF(#REF!=1,"22-23/1",
IF(#REF!=2,"22-23/2",
IF(#REF!=3,"23-24/1",
IF(#REF!=4,"23-24/2",
IF(#REF!=5,"24-25/1",
IF(#REF!=6,"24-25/2",
IF(#REF!=7,"25-26/1",
IF(#REF!=8,"25-26/2","Hata5")))))))),
IF(#REF!+BM15=2023,
IF(#REF!=1,"23-24/1",
IF(#REF!=2,"23-24/2",
IF(#REF!=3,"24-25/1",
IF(#REF!=4,"24-25/2",
IF(#REF!=5,"25-26/1",
IF(#REF!=6,"25-26/2",
IF(#REF!=7,"26-27/1",
IF(#REF!=8,"26-27/2","Hata6")))))))),
)))))),
IF(BE15="T",
IF(#REF!+BM15=2018,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" s="1" t="s">
        <v>73</v>
      </c>
      <c r="J15" s="1">
        <v>4234782</v>
      </c>
      <c r="L15" s="2">
        <v>3434</v>
      </c>
      <c r="N15" s="2">
        <v>3</v>
      </c>
      <c r="O15" s="6">
        <f t="shared" si="0"/>
        <v>2</v>
      </c>
      <c r="P15" s="2">
        <f t="shared" si="1"/>
        <v>2</v>
      </c>
      <c r="Q15" s="2">
        <v>2</v>
      </c>
      <c r="R15" s="2">
        <v>0</v>
      </c>
      <c r="S15" s="2">
        <v>0</v>
      </c>
      <c r="X15" s="3">
        <v>4</v>
      </c>
      <c r="Y15" s="1">
        <f>VLOOKUP($X15,[5]ölçme_sistemleri!I$1:L$65536,2,FALSE)</f>
        <v>0</v>
      </c>
      <c r="Z15" s="1">
        <f>VLOOKUP($X15,[5]ölçme_sistemleri!I$1:L$65536,3,FALSE)</f>
        <v>1</v>
      </c>
      <c r="AA15" s="1">
        <f>VLOOKUP($X15,[5]ölçme_sistemleri!I$1:L$65536,4,FALSE)</f>
        <v>1</v>
      </c>
      <c r="AB15" s="1">
        <f>$O15*[5]ölçme_sistemleri!J$13</f>
        <v>2</v>
      </c>
      <c r="AC15" s="1">
        <f>$O15*[5]ölçme_sistemleri!K$13</f>
        <v>4</v>
      </c>
      <c r="AD15" s="1">
        <f>$O15*[5]ölçme_sistemleri!L$13</f>
        <v>6</v>
      </c>
      <c r="AE15" s="1">
        <f t="shared" si="2"/>
        <v>0</v>
      </c>
      <c r="AF15" s="1">
        <f t="shared" si="3"/>
        <v>4</v>
      </c>
      <c r="AG15" s="1">
        <f t="shared" si="4"/>
        <v>6</v>
      </c>
      <c r="AH15" s="1">
        <f t="shared" si="5"/>
        <v>10</v>
      </c>
      <c r="AI15" s="1">
        <v>14</v>
      </c>
      <c r="AJ15" s="1">
        <f>VLOOKUP(X15,[5]ölçme_sistemleri!I$1:M$65536,5,FALSE)</f>
        <v>1</v>
      </c>
      <c r="AK15" s="1">
        <f t="shared" si="6"/>
        <v>140</v>
      </c>
      <c r="AL15" s="1">
        <f>AI15*3</f>
        <v>42</v>
      </c>
      <c r="AM15" s="1">
        <f>VLOOKUP(X15,[5]ölçme_sistemleri!I$1:N$65536,6,FALSE)</f>
        <v>2</v>
      </c>
      <c r="AN15" s="1">
        <v>2</v>
      </c>
      <c r="AO15" s="1">
        <f t="shared" si="7"/>
        <v>4</v>
      </c>
      <c r="AP15" s="1">
        <v>14</v>
      </c>
      <c r="AQ15" s="1">
        <f t="shared" si="8"/>
        <v>28</v>
      </c>
      <c r="AR15" s="1">
        <f t="shared" si="9"/>
        <v>84</v>
      </c>
      <c r="AS15" s="1">
        <f t="shared" si="27"/>
        <v>25</v>
      </c>
      <c r="AT15" s="1">
        <f t="shared" si="11"/>
        <v>3</v>
      </c>
      <c r="AU15" s="1">
        <f t="shared" si="12"/>
        <v>0</v>
      </c>
      <c r="AV15" s="1">
        <f t="shared" si="13"/>
        <v>0</v>
      </c>
      <c r="AW15" s="1">
        <f t="shared" si="14"/>
        <v>0</v>
      </c>
      <c r="AX15" s="1">
        <f t="shared" si="15"/>
        <v>0</v>
      </c>
      <c r="AY15" s="1">
        <f t="shared" si="16"/>
        <v>-10</v>
      </c>
      <c r="AZ15" s="1">
        <f t="shared" si="17"/>
        <v>0</v>
      </c>
      <c r="BA15" s="1">
        <f t="shared" si="18"/>
        <v>-42</v>
      </c>
      <c r="BB15" s="1">
        <f t="shared" si="19"/>
        <v>0</v>
      </c>
      <c r="BC15" s="1">
        <f t="shared" si="20"/>
        <v>-4</v>
      </c>
      <c r="BD15" s="1">
        <f t="shared" si="21"/>
        <v>0</v>
      </c>
      <c r="BE15" s="1" t="s">
        <v>65</v>
      </c>
      <c r="BF15" s="1">
        <f t="shared" si="22"/>
        <v>28</v>
      </c>
      <c r="BG15" s="1">
        <f t="shared" si="23"/>
        <v>28</v>
      </c>
      <c r="BH15" s="1">
        <f t="shared" si="24"/>
        <v>1</v>
      </c>
      <c r="BI15" s="1" t="e">
        <f>IF(BH15-#REF!=0,"DOĞRU","YANLIŞ")</f>
        <v>#REF!</v>
      </c>
      <c r="BJ15" s="1" t="e">
        <f>#REF!-BH15</f>
        <v>#REF!</v>
      </c>
      <c r="BK15" s="1">
        <v>0</v>
      </c>
      <c r="BM15" s="1">
        <v>0</v>
      </c>
      <c r="BO15" s="1">
        <v>2</v>
      </c>
      <c r="BT15" s="8">
        <f t="shared" si="25"/>
        <v>0</v>
      </c>
      <c r="BU15" s="9"/>
      <c r="BV15" s="10"/>
      <c r="BW15" s="11"/>
      <c r="BX15" s="11"/>
      <c r="BY15" s="11"/>
      <c r="BZ15" s="11"/>
      <c r="CA15" s="11"/>
      <c r="CB15" s="12"/>
      <c r="CC15" s="13"/>
      <c r="CD15" s="14"/>
      <c r="CL15" s="11"/>
      <c r="CM15" s="11"/>
      <c r="CN15" s="11"/>
      <c r="CO15" s="11"/>
      <c r="CP15" s="11"/>
      <c r="CQ15" s="54"/>
      <c r="CR15" s="55"/>
      <c r="CS15" s="49"/>
      <c r="CT15" s="46"/>
      <c r="CU15" s="48"/>
      <c r="CV15" s="48"/>
      <c r="CW15" s="49"/>
      <c r="CX15" s="49"/>
    </row>
    <row r="16" spans="1:103" x14ac:dyDescent="0.25">
      <c r="A16" s="112" t="s">
        <v>136</v>
      </c>
      <c r="B16" s="112" t="s">
        <v>134</v>
      </c>
      <c r="C16" s="1" t="s">
        <v>134</v>
      </c>
      <c r="D16" s="2" t="s">
        <v>63</v>
      </c>
      <c r="E16" s="2" t="s">
        <v>63</v>
      </c>
      <c r="F16" s="3" t="e">
        <f>IF(BE16="S",
IF(#REF!+BM16=2018,
IF(#REF!=1,"18-19/1",
IF(#REF!=2,"18-19/2",
IF(#REF!=3,"19-20/1",
IF(#REF!=4,"19-20/2",
IF(#REF!=5,"20-21/1",
IF(#REF!=6,"20-21/2",
IF(#REF!=7,"21-22/1",
IF(#REF!=8,"21-22/2","Hata1")))))))),
IF(#REF!+BM16=2019,
IF(#REF!=1,"19-20/1",
IF(#REF!=2,"19-20/2",
IF(#REF!=3,"20-21/1",
IF(#REF!=4,"20-21/2",
IF(#REF!=5,"21-22/1",
IF(#REF!=6,"21-22/2",
IF(#REF!=7,"22-23/1",
IF(#REF!=8,"22-23/2","Hata2")))))))),
IF(#REF!+BM16=2020,
IF(#REF!=1,"20-21/1",
IF(#REF!=2,"20-21/2",
IF(#REF!=3,"21-22/1",
IF(#REF!=4,"21-22/2",
IF(#REF!=5,"22-23/1",
IF(#REF!=6,"22-23/2",
IF(#REF!=7,"23-24/1",
IF(#REF!=8,"23-24/2","Hata3")))))))),
IF(#REF!+BM16=2021,
IF(#REF!=1,"21-22/1",
IF(#REF!=2,"21-22/2",
IF(#REF!=3,"22-23/1",
IF(#REF!=4,"22-23/2",
IF(#REF!=5,"23-24/1",
IF(#REF!=6,"23-24/2",
IF(#REF!=7,"24-25/1",
IF(#REF!=8,"24-25/2","Hata4")))))))),
IF(#REF!+BM16=2022,
IF(#REF!=1,"22-23/1",
IF(#REF!=2,"22-23/2",
IF(#REF!=3,"23-24/1",
IF(#REF!=4,"23-24/2",
IF(#REF!=5,"24-25/1",
IF(#REF!=6,"24-25/2",
IF(#REF!=7,"25-26/1",
IF(#REF!=8,"25-26/2","Hata5")))))))),
IF(#REF!+BM16=2023,
IF(#REF!=1,"23-24/1",
IF(#REF!=2,"23-24/2",
IF(#REF!=3,"24-25/1",
IF(#REF!=4,"24-25/2",
IF(#REF!=5,"25-26/1",
IF(#REF!=6,"25-26/2",
IF(#REF!=7,"26-27/1",
IF(#REF!=8,"26-27/2","Hata6")))))))),
)))))),
IF(BE16="T",
IF(#REF!+BM16=2018,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" s="112" t="s">
        <v>73</v>
      </c>
      <c r="J16" s="1">
        <v>4234782</v>
      </c>
      <c r="L16" s="2">
        <v>3426</v>
      </c>
      <c r="N16" s="113">
        <v>5</v>
      </c>
      <c r="O16" s="89">
        <f t="shared" si="0"/>
        <v>4</v>
      </c>
      <c r="P16" s="2">
        <f t="shared" si="1"/>
        <v>4</v>
      </c>
      <c r="Q16" s="2">
        <v>2</v>
      </c>
      <c r="R16" s="2">
        <v>0</v>
      </c>
      <c r="S16" s="2">
        <v>2</v>
      </c>
      <c r="X16" s="90">
        <v>4</v>
      </c>
      <c r="Y16" s="1">
        <f>VLOOKUP(X16,[1]ölçme_sistemleri!I:L,2,FALSE)</f>
        <v>0</v>
      </c>
      <c r="Z16" s="1">
        <f>VLOOKUP(X16,[1]ölçme_sistemleri!I:L,3,FALSE)</f>
        <v>1</v>
      </c>
      <c r="AA16" s="1">
        <f>VLOOKUP(X16,[1]ölçme_sistemleri!I:L,4,FALSE)</f>
        <v>1</v>
      </c>
      <c r="AB16" s="1">
        <f>$O16*[1]ölçme_sistemleri!$J$13</f>
        <v>4</v>
      </c>
      <c r="AC16" s="1">
        <f>$O16*[1]ölçme_sistemleri!$K$13</f>
        <v>8</v>
      </c>
      <c r="AD16" s="1">
        <f>$O16*[1]ölçme_sistemleri!$L$13</f>
        <v>12</v>
      </c>
      <c r="AE16" s="1">
        <f t="shared" si="2"/>
        <v>0</v>
      </c>
      <c r="AF16" s="1">
        <f t="shared" si="3"/>
        <v>8</v>
      </c>
      <c r="AG16" s="1">
        <f t="shared" si="4"/>
        <v>12</v>
      </c>
      <c r="AH16" s="1">
        <f t="shared" si="5"/>
        <v>20</v>
      </c>
      <c r="AI16" s="1">
        <v>14</v>
      </c>
      <c r="AJ16" s="1">
        <f>VLOOKUP(X16,[1]ölçme_sistemleri!I:M,5,FALSE)</f>
        <v>1</v>
      </c>
      <c r="AK16" s="1">
        <f t="shared" si="6"/>
        <v>280</v>
      </c>
      <c r="AL16" s="1">
        <f>(Q16+S16)*AI16</f>
        <v>56</v>
      </c>
      <c r="AM16" s="1">
        <f>VLOOKUP(X16,[1]ölçme_sistemleri!I:N,6,FALSE)</f>
        <v>2</v>
      </c>
      <c r="AN16" s="1">
        <v>2</v>
      </c>
      <c r="AO16" s="1">
        <f t="shared" si="7"/>
        <v>4</v>
      </c>
      <c r="AP16" s="1">
        <v>14</v>
      </c>
      <c r="AQ16" s="1">
        <f t="shared" si="8"/>
        <v>56</v>
      </c>
      <c r="AR16" s="1">
        <f t="shared" si="9"/>
        <v>136</v>
      </c>
      <c r="AS16" s="1">
        <f t="shared" si="27"/>
        <v>25</v>
      </c>
      <c r="AT16" s="1">
        <f t="shared" si="11"/>
        <v>5</v>
      </c>
      <c r="AU16" s="1">
        <f t="shared" si="12"/>
        <v>0</v>
      </c>
      <c r="AV16" s="1">
        <f t="shared" si="13"/>
        <v>0</v>
      </c>
      <c r="AW16" s="1">
        <f t="shared" si="14"/>
        <v>0</v>
      </c>
      <c r="AX16" s="1">
        <f t="shared" si="15"/>
        <v>0</v>
      </c>
      <c r="AY16" s="1">
        <f t="shared" si="16"/>
        <v>-20</v>
      </c>
      <c r="AZ16" s="1">
        <f t="shared" si="17"/>
        <v>0</v>
      </c>
      <c r="BA16" s="1">
        <f t="shared" si="18"/>
        <v>-56</v>
      </c>
      <c r="BB16" s="1">
        <f t="shared" si="19"/>
        <v>0</v>
      </c>
      <c r="BC16" s="1">
        <f t="shared" si="20"/>
        <v>-4</v>
      </c>
      <c r="BD16" s="1">
        <f t="shared" si="21"/>
        <v>0</v>
      </c>
      <c r="BE16" s="1" t="s">
        <v>65</v>
      </c>
      <c r="BF16" s="1">
        <f t="shared" si="22"/>
        <v>56</v>
      </c>
      <c r="BG16" s="1">
        <f t="shared" si="23"/>
        <v>56</v>
      </c>
      <c r="BH16" s="1">
        <f t="shared" si="24"/>
        <v>2</v>
      </c>
      <c r="BI16" s="1" t="e">
        <f>IF(BH16-#REF!=0,"DOĞRU","YANLIŞ")</f>
        <v>#REF!</v>
      </c>
      <c r="BJ16" s="1" t="e">
        <f>#REF!-BH16</f>
        <v>#REF!</v>
      </c>
      <c r="BK16" s="1">
        <v>1</v>
      </c>
      <c r="BM16" s="1">
        <v>0</v>
      </c>
      <c r="BO16" s="1">
        <v>2</v>
      </c>
      <c r="BT16" s="8">
        <f t="shared" si="25"/>
        <v>0</v>
      </c>
      <c r="BU16" s="9"/>
      <c r="BV16" s="10"/>
      <c r="BW16" s="11"/>
      <c r="BX16" s="11"/>
      <c r="BY16" s="11"/>
      <c r="BZ16" s="11"/>
      <c r="CA16" s="11"/>
      <c r="CB16" s="12"/>
      <c r="CC16" s="13"/>
      <c r="CD16" s="14"/>
      <c r="CL16" s="114"/>
      <c r="CM16" s="114"/>
      <c r="CN16" s="114"/>
      <c r="CO16" s="114"/>
      <c r="CP16" s="114" t="s">
        <v>442</v>
      </c>
      <c r="CQ16" s="111">
        <v>44324</v>
      </c>
      <c r="CR16" s="114" t="s">
        <v>529</v>
      </c>
      <c r="CS16" s="91"/>
      <c r="CT16" s="91"/>
      <c r="CU16" s="48"/>
      <c r="CV16" s="48"/>
      <c r="CW16" s="49"/>
      <c r="CX16" s="49"/>
    </row>
    <row r="17" spans="1:102" hidden="1" x14ac:dyDescent="0.25">
      <c r="A17" s="1" t="s">
        <v>123</v>
      </c>
      <c r="B17" s="42" t="s">
        <v>124</v>
      </c>
      <c r="C17" s="1" t="s">
        <v>124</v>
      </c>
      <c r="D17" s="2" t="s">
        <v>58</v>
      </c>
      <c r="E17" s="2" t="s">
        <v>58</v>
      </c>
      <c r="F17" s="3" t="e">
        <f>IF(BE17="S",
IF(#REF!+BM17=2018,
IF(#REF!=1,"18-19/1",
IF(#REF!=2,"18-19/2",
IF(#REF!=3,"19-20/1",
IF(#REF!=4,"19-20/2",
IF(#REF!=5,"20-21/1",
IF(#REF!=6,"20-21/2",
IF(#REF!=7,"21-22/1",
IF(#REF!=8,"21-22/2","Hata1")))))))),
IF(#REF!+BM17=2019,
IF(#REF!=1,"19-20/1",
IF(#REF!=2,"19-20/2",
IF(#REF!=3,"20-21/1",
IF(#REF!=4,"20-21/2",
IF(#REF!=5,"21-22/1",
IF(#REF!=6,"21-22/2",
IF(#REF!=7,"22-23/1",
IF(#REF!=8,"22-23/2","Hata2")))))))),
IF(#REF!+BM17=2020,
IF(#REF!=1,"20-21/1",
IF(#REF!=2,"20-21/2",
IF(#REF!=3,"21-22/1",
IF(#REF!=4,"21-22/2",
IF(#REF!=5,"22-23/1",
IF(#REF!=6,"22-23/2",
IF(#REF!=7,"23-24/1",
IF(#REF!=8,"23-24/2","Hata3")))))))),
IF(#REF!+BM17=2021,
IF(#REF!=1,"21-22/1",
IF(#REF!=2,"21-22/2",
IF(#REF!=3,"22-23/1",
IF(#REF!=4,"22-23/2",
IF(#REF!=5,"23-24/1",
IF(#REF!=6,"23-24/2",
IF(#REF!=7,"24-25/1",
IF(#REF!=8,"24-25/2","Hata4")))))))),
IF(#REF!+BM17=2022,
IF(#REF!=1,"22-23/1",
IF(#REF!=2,"22-23/2",
IF(#REF!=3,"23-24/1",
IF(#REF!=4,"23-24/2",
IF(#REF!=5,"24-25/1",
IF(#REF!=6,"24-25/2",
IF(#REF!=7,"25-26/1",
IF(#REF!=8,"25-26/2","Hata5")))))))),
IF(#REF!+BM17=2023,
IF(#REF!=1,"23-24/1",
IF(#REF!=2,"23-24/2",
IF(#REF!=3,"24-25/1",
IF(#REF!=4,"24-25/2",
IF(#REF!=5,"25-26/1",
IF(#REF!=6,"25-26/2",
IF(#REF!=7,"26-27/1",
IF(#REF!=8,"26-27/2","Hata6")))))))),
)))))),
IF(BE17="T",
IF(#REF!+BM17=2018,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17" s="3">
        <v>0</v>
      </c>
      <c r="I17" s="1" t="s">
        <v>73</v>
      </c>
      <c r="J17" s="1">
        <v>4234782</v>
      </c>
      <c r="L17" s="2">
        <v>1419</v>
      </c>
      <c r="N17" s="2">
        <v>4</v>
      </c>
      <c r="O17" s="6">
        <f t="shared" si="0"/>
        <v>2</v>
      </c>
      <c r="P17" s="2">
        <f t="shared" si="1"/>
        <v>2</v>
      </c>
      <c r="Q17" s="2">
        <v>0</v>
      </c>
      <c r="R17" s="2">
        <v>0</v>
      </c>
      <c r="S17" s="2">
        <v>2</v>
      </c>
      <c r="X17" s="3">
        <v>4</v>
      </c>
      <c r="Y17" s="1">
        <f>VLOOKUP(X17,[2]ölçme_sistemleri!I:L,2,FALSE)</f>
        <v>0</v>
      </c>
      <c r="Z17" s="1">
        <f>VLOOKUP(X17,[2]ölçme_sistemleri!I:L,3,FALSE)</f>
        <v>1</v>
      </c>
      <c r="AA17" s="1">
        <f>VLOOKUP(X17,[2]ölçme_sistemleri!I:L,4,FALSE)</f>
        <v>1</v>
      </c>
      <c r="AB17" s="1">
        <f>$O17*[2]ölçme_sistemleri!$J$13</f>
        <v>2</v>
      </c>
      <c r="AC17" s="1">
        <f>$O17*[2]ölçme_sistemleri!$K$13</f>
        <v>4</v>
      </c>
      <c r="AD17" s="1">
        <f>$O17*[2]ölçme_sistemleri!$L$13</f>
        <v>6</v>
      </c>
      <c r="AE17" s="1">
        <f t="shared" si="2"/>
        <v>0</v>
      </c>
      <c r="AF17" s="1">
        <f t="shared" si="3"/>
        <v>4</v>
      </c>
      <c r="AG17" s="1">
        <f t="shared" si="4"/>
        <v>6</v>
      </c>
      <c r="AH17" s="1">
        <f t="shared" si="5"/>
        <v>10</v>
      </c>
      <c r="AI17" s="1">
        <v>14</v>
      </c>
      <c r="AJ17" s="1">
        <f>VLOOKUP(X17,[2]ölçme_sistemleri!I:M,5,FALSE)</f>
        <v>1</v>
      </c>
      <c r="AK17" s="1">
        <f t="shared" si="6"/>
        <v>140</v>
      </c>
      <c r="AL17" s="1">
        <f>AI17*4</f>
        <v>56</v>
      </c>
      <c r="AM17" s="1">
        <f>VLOOKUP(X17,[2]ölçme_sistemleri!I:N,6,FALSE)</f>
        <v>2</v>
      </c>
      <c r="AN17" s="1">
        <v>2</v>
      </c>
      <c r="AO17" s="1">
        <f t="shared" si="7"/>
        <v>4</v>
      </c>
      <c r="AP17" s="1">
        <v>14</v>
      </c>
      <c r="AQ17" s="1">
        <f t="shared" si="8"/>
        <v>28</v>
      </c>
      <c r="AR17" s="1">
        <f t="shared" si="9"/>
        <v>98</v>
      </c>
      <c r="AS17" s="1">
        <f t="shared" si="27"/>
        <v>25</v>
      </c>
      <c r="AT17" s="1">
        <f t="shared" si="11"/>
        <v>4</v>
      </c>
      <c r="AU17" s="1">
        <f t="shared" si="12"/>
        <v>0</v>
      </c>
      <c r="AV17" s="1">
        <f t="shared" si="13"/>
        <v>0</v>
      </c>
      <c r="AW17" s="1">
        <f t="shared" si="14"/>
        <v>0</v>
      </c>
      <c r="AX17" s="1">
        <f t="shared" si="15"/>
        <v>0</v>
      </c>
      <c r="AY17" s="1">
        <f t="shared" si="16"/>
        <v>-10</v>
      </c>
      <c r="AZ17" s="1">
        <f t="shared" si="17"/>
        <v>0</v>
      </c>
      <c r="BA17" s="1">
        <f t="shared" si="18"/>
        <v>-56</v>
      </c>
      <c r="BB17" s="1">
        <f t="shared" si="19"/>
        <v>0</v>
      </c>
      <c r="BC17" s="1">
        <f t="shared" si="20"/>
        <v>-4</v>
      </c>
      <c r="BD17" s="1">
        <f t="shared" si="21"/>
        <v>0</v>
      </c>
      <c r="BE17" s="1" t="s">
        <v>65</v>
      </c>
      <c r="BF17" s="1">
        <f t="shared" si="22"/>
        <v>28</v>
      </c>
      <c r="BG17" s="1">
        <f t="shared" si="23"/>
        <v>28</v>
      </c>
      <c r="BH17" s="1">
        <f t="shared" si="24"/>
        <v>1</v>
      </c>
      <c r="BI17" s="1" t="e">
        <f>IF(BH17-#REF!=0,"DOĞRU","YANLIŞ")</f>
        <v>#REF!</v>
      </c>
      <c r="BJ17" s="1" t="e">
        <f>#REF!-BH17</f>
        <v>#REF!</v>
      </c>
      <c r="BK17" s="1">
        <v>0</v>
      </c>
      <c r="BM17" s="1">
        <v>0</v>
      </c>
      <c r="BO17" s="1">
        <v>0</v>
      </c>
      <c r="BT17" s="8">
        <f t="shared" si="25"/>
        <v>0</v>
      </c>
      <c r="BU17" s="9"/>
      <c r="BV17" s="10"/>
      <c r="BW17" s="11"/>
      <c r="BX17" s="11"/>
      <c r="BY17" s="11"/>
      <c r="BZ17" s="11"/>
      <c r="CA17" s="11"/>
      <c r="CB17" s="12"/>
      <c r="CC17" s="13"/>
      <c r="CD17" s="14"/>
      <c r="CL17" s="11"/>
      <c r="CM17" s="11"/>
      <c r="CN17" s="11"/>
      <c r="CO17" s="11"/>
      <c r="CP17" s="11"/>
      <c r="CQ17" s="49"/>
      <c r="CR17" s="46"/>
      <c r="CS17" s="48"/>
      <c r="CT17" s="48"/>
      <c r="CU17" s="48"/>
      <c r="CV17" s="48"/>
      <c r="CW17" s="49"/>
      <c r="CX17" s="49"/>
    </row>
    <row r="18" spans="1:102" hidden="1" x14ac:dyDescent="0.25">
      <c r="A18" s="1" t="s">
        <v>119</v>
      </c>
      <c r="B18" s="1" t="s">
        <v>120</v>
      </c>
      <c r="C18" s="1" t="s">
        <v>120</v>
      </c>
      <c r="D18" s="2" t="s">
        <v>58</v>
      </c>
      <c r="E18" s="2" t="s">
        <v>58</v>
      </c>
      <c r="F18" s="3" t="e">
        <f>IF(BE18="S",
IF(#REF!+BM18=2018,
IF(#REF!=1,"18-19/1",
IF(#REF!=2,"18-19/2",
IF(#REF!=3,"19-20/1",
IF(#REF!=4,"19-20/2",
IF(#REF!=5,"20-21/1",
IF(#REF!=6,"20-21/2",
IF(#REF!=7,"21-22/1",
IF(#REF!=8,"21-22/2","Hata1")))))))),
IF(#REF!+BM18=2019,
IF(#REF!=1,"19-20/1",
IF(#REF!=2,"19-20/2",
IF(#REF!=3,"20-21/1",
IF(#REF!=4,"20-21/2",
IF(#REF!=5,"21-22/1",
IF(#REF!=6,"21-22/2",
IF(#REF!=7,"22-23/1",
IF(#REF!=8,"22-23/2","Hata2")))))))),
IF(#REF!+BM18=2020,
IF(#REF!=1,"20-21/1",
IF(#REF!=2,"20-21/2",
IF(#REF!=3,"21-22/1",
IF(#REF!=4,"21-22/2",
IF(#REF!=5,"22-23/1",
IF(#REF!=6,"22-23/2",
IF(#REF!=7,"23-24/1",
IF(#REF!=8,"23-24/2","Hata3")))))))),
IF(#REF!+BM18=2021,
IF(#REF!=1,"21-22/1",
IF(#REF!=2,"21-22/2",
IF(#REF!=3,"22-23/1",
IF(#REF!=4,"22-23/2",
IF(#REF!=5,"23-24/1",
IF(#REF!=6,"23-24/2",
IF(#REF!=7,"24-25/1",
IF(#REF!=8,"24-25/2","Hata4")))))))),
IF(#REF!+BM18=2022,
IF(#REF!=1,"22-23/1",
IF(#REF!=2,"22-23/2",
IF(#REF!=3,"23-24/1",
IF(#REF!=4,"23-24/2",
IF(#REF!=5,"24-25/1",
IF(#REF!=6,"24-25/2",
IF(#REF!=7,"25-26/1",
IF(#REF!=8,"25-26/2","Hata5")))))))),
IF(#REF!+BM18=2023,
IF(#REF!=1,"23-24/1",
IF(#REF!=2,"23-24/2",
IF(#REF!=3,"24-25/1",
IF(#REF!=4,"24-25/2",
IF(#REF!=5,"25-26/1",
IF(#REF!=6,"25-26/2",
IF(#REF!=7,"26-27/1",
IF(#REF!=8,"26-27/2","Hata6")))))))),
)))))),
IF(BE18="T",
IF(#REF!+BM18=2018,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" s="1" t="s">
        <v>73</v>
      </c>
      <c r="J18" s="1">
        <v>4234782</v>
      </c>
      <c r="L18" s="2">
        <v>1457</v>
      </c>
      <c r="N18" s="2">
        <v>4</v>
      </c>
      <c r="O18" s="6">
        <f t="shared" si="0"/>
        <v>3</v>
      </c>
      <c r="P18" s="2">
        <f t="shared" si="1"/>
        <v>3</v>
      </c>
      <c r="Q18" s="2">
        <v>0</v>
      </c>
      <c r="R18" s="2">
        <v>0</v>
      </c>
      <c r="S18" s="2">
        <v>3</v>
      </c>
      <c r="X18" s="3">
        <v>2</v>
      </c>
      <c r="Y18" s="1">
        <f>VLOOKUP(X18,[2]ölçme_sistemleri!I:L,2,FALSE)</f>
        <v>0</v>
      </c>
      <c r="Z18" s="1">
        <f>VLOOKUP(X18,[2]ölçme_sistemleri!I:L,3,FALSE)</f>
        <v>2</v>
      </c>
      <c r="AA18" s="1">
        <f>VLOOKUP(X18,[2]ölçme_sistemleri!I:L,4,FALSE)</f>
        <v>1</v>
      </c>
      <c r="AB18" s="1">
        <f>$O18*[2]ölçme_sistemleri!$J$13</f>
        <v>3</v>
      </c>
      <c r="AC18" s="1">
        <f>$O18*[2]ölçme_sistemleri!$K$13</f>
        <v>6</v>
      </c>
      <c r="AD18" s="1">
        <f>$O18*[2]ölçme_sistemleri!$L$13</f>
        <v>9</v>
      </c>
      <c r="AE18" s="1">
        <f t="shared" si="2"/>
        <v>0</v>
      </c>
      <c r="AF18" s="1">
        <f t="shared" si="3"/>
        <v>12</v>
      </c>
      <c r="AG18" s="1">
        <f t="shared" si="4"/>
        <v>9</v>
      </c>
      <c r="AH18" s="1">
        <f t="shared" si="5"/>
        <v>21</v>
      </c>
      <c r="AI18" s="1">
        <v>14</v>
      </c>
      <c r="AJ18" s="1">
        <f>VLOOKUP(X18,[2]ölçme_sistemleri!I:M,5,FALSE)</f>
        <v>2</v>
      </c>
      <c r="AK18" s="1">
        <f t="shared" si="6"/>
        <v>294</v>
      </c>
      <c r="AL18" s="1">
        <f>(Q18+S18)*AI18</f>
        <v>42</v>
      </c>
      <c r="AM18" s="1">
        <f>VLOOKUP(X18,[2]ölçme_sistemleri!I:N,6,FALSE)</f>
        <v>3</v>
      </c>
      <c r="AN18" s="1">
        <v>2</v>
      </c>
      <c r="AO18" s="1">
        <f t="shared" si="7"/>
        <v>6</v>
      </c>
      <c r="AP18" s="1">
        <v>14</v>
      </c>
      <c r="AQ18" s="1">
        <f t="shared" si="8"/>
        <v>42</v>
      </c>
      <c r="AR18" s="1">
        <f t="shared" si="9"/>
        <v>111</v>
      </c>
      <c r="AS18" s="1">
        <f t="shared" si="27"/>
        <v>25</v>
      </c>
      <c r="AT18" s="1">
        <f t="shared" si="11"/>
        <v>4</v>
      </c>
      <c r="AU18" s="1">
        <f t="shared" si="12"/>
        <v>0</v>
      </c>
      <c r="AV18" s="1">
        <f t="shared" si="13"/>
        <v>0</v>
      </c>
      <c r="AW18" s="1">
        <f t="shared" si="14"/>
        <v>0</v>
      </c>
      <c r="AX18" s="1">
        <f t="shared" si="15"/>
        <v>0</v>
      </c>
      <c r="AY18" s="1">
        <f t="shared" si="16"/>
        <v>-21</v>
      </c>
      <c r="AZ18" s="1">
        <f t="shared" si="17"/>
        <v>0</v>
      </c>
      <c r="BA18" s="1">
        <f t="shared" si="18"/>
        <v>-42</v>
      </c>
      <c r="BB18" s="1">
        <f t="shared" si="19"/>
        <v>0</v>
      </c>
      <c r="BC18" s="1">
        <f t="shared" si="20"/>
        <v>-6</v>
      </c>
      <c r="BD18" s="1">
        <f t="shared" si="21"/>
        <v>0</v>
      </c>
      <c r="BE18" s="1" t="s">
        <v>65</v>
      </c>
      <c r="BF18" s="1">
        <f t="shared" si="22"/>
        <v>42</v>
      </c>
      <c r="BG18" s="1">
        <f t="shared" si="23"/>
        <v>42</v>
      </c>
      <c r="BH18" s="1">
        <f t="shared" si="24"/>
        <v>1</v>
      </c>
      <c r="BI18" s="1" t="e">
        <f>IF(BH18-#REF!=0,"DOĞRU","YANLIŞ")</f>
        <v>#REF!</v>
      </c>
      <c r="BJ18" s="1" t="e">
        <f>#REF!-BH18</f>
        <v>#REF!</v>
      </c>
      <c r="BK18" s="1">
        <v>0</v>
      </c>
      <c r="BM18" s="1">
        <v>0</v>
      </c>
      <c r="BO18" s="1">
        <v>2</v>
      </c>
      <c r="BT18" s="8">
        <f t="shared" si="25"/>
        <v>0</v>
      </c>
      <c r="BU18" s="9"/>
      <c r="BV18" s="10"/>
      <c r="BW18" s="11"/>
      <c r="BX18" s="11"/>
      <c r="BY18" s="11"/>
      <c r="BZ18" s="11"/>
      <c r="CA18" s="11"/>
      <c r="CB18" s="12"/>
      <c r="CC18" s="13"/>
      <c r="CD18" s="14"/>
      <c r="CL18" s="11"/>
      <c r="CM18" s="11"/>
      <c r="CN18" s="11"/>
      <c r="CO18" s="11"/>
      <c r="CP18" s="11"/>
      <c r="CQ18" s="49"/>
      <c r="CR18" s="46"/>
      <c r="CS18" s="49"/>
      <c r="CT18" s="48"/>
      <c r="CU18" s="49"/>
      <c r="CV18" s="48"/>
      <c r="CW18" s="49"/>
      <c r="CX18" s="49"/>
    </row>
    <row r="19" spans="1:102" hidden="1" x14ac:dyDescent="0.25">
      <c r="A19" s="1" t="s">
        <v>125</v>
      </c>
      <c r="B19" s="1" t="s">
        <v>126</v>
      </c>
      <c r="C19" s="1" t="s">
        <v>126</v>
      </c>
      <c r="D19" s="2" t="s">
        <v>63</v>
      </c>
      <c r="E19" s="2" t="s">
        <v>63</v>
      </c>
      <c r="F19" s="3" t="e">
        <f>IF(BE19="S",
IF(#REF!+BM19=2018,
IF(#REF!=1,"18-19/1",
IF(#REF!=2,"18-19/2",
IF(#REF!=3,"19-20/1",
IF(#REF!=4,"19-20/2",
IF(#REF!=5,"20-21/1",
IF(#REF!=6,"20-21/2",
IF(#REF!=7,"21-22/1",
IF(#REF!=8,"21-22/2","Hata1")))))))),
IF(#REF!+BM19=2019,
IF(#REF!=1,"19-20/1",
IF(#REF!=2,"19-20/2",
IF(#REF!=3,"20-21/1",
IF(#REF!=4,"20-21/2",
IF(#REF!=5,"21-22/1",
IF(#REF!=6,"21-22/2",
IF(#REF!=7,"22-23/1",
IF(#REF!=8,"22-23/2","Hata2")))))))),
IF(#REF!+BM19=2020,
IF(#REF!=1,"20-21/1",
IF(#REF!=2,"20-21/2",
IF(#REF!=3,"21-22/1",
IF(#REF!=4,"21-22/2",
IF(#REF!=5,"22-23/1",
IF(#REF!=6,"22-23/2",
IF(#REF!=7,"23-24/1",
IF(#REF!=8,"23-24/2","Hata3")))))))),
IF(#REF!+BM19=2021,
IF(#REF!=1,"21-22/1",
IF(#REF!=2,"21-22/2",
IF(#REF!=3,"22-23/1",
IF(#REF!=4,"22-23/2",
IF(#REF!=5,"23-24/1",
IF(#REF!=6,"23-24/2",
IF(#REF!=7,"24-25/1",
IF(#REF!=8,"24-25/2","Hata4")))))))),
IF(#REF!+BM19=2022,
IF(#REF!=1,"22-23/1",
IF(#REF!=2,"22-23/2",
IF(#REF!=3,"23-24/1",
IF(#REF!=4,"23-24/2",
IF(#REF!=5,"24-25/1",
IF(#REF!=6,"24-25/2",
IF(#REF!=7,"25-26/1",
IF(#REF!=8,"25-26/2","Hata5")))))))),
IF(#REF!+BM19=2023,
IF(#REF!=1,"23-24/1",
IF(#REF!=2,"23-24/2",
IF(#REF!=3,"24-25/1",
IF(#REF!=4,"24-25/2",
IF(#REF!=5,"25-26/1",
IF(#REF!=6,"25-26/2",
IF(#REF!=7,"26-27/1",
IF(#REF!=8,"26-27/2","Hata6")))))))),
)))))),
IF(BE19="T",
IF(#REF!+BM19=2018,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" s="1" t="s">
        <v>73</v>
      </c>
      <c r="J19" s="1">
        <v>4234782</v>
      </c>
      <c r="L19" s="2">
        <v>1681</v>
      </c>
      <c r="N19" s="2">
        <v>4</v>
      </c>
      <c r="O19" s="6">
        <f t="shared" si="0"/>
        <v>3</v>
      </c>
      <c r="P19" s="2">
        <f t="shared" si="1"/>
        <v>3</v>
      </c>
      <c r="Q19" s="2">
        <v>3</v>
      </c>
      <c r="R19" s="2">
        <v>0</v>
      </c>
      <c r="S19" s="2">
        <v>0</v>
      </c>
      <c r="X19" s="3">
        <v>2</v>
      </c>
      <c r="Y19" s="1">
        <f>VLOOKUP(X19,[6]ölçme_sistemleri!I:L,2,FALSE)</f>
        <v>0</v>
      </c>
      <c r="Z19" s="1">
        <f>VLOOKUP(X19,[6]ölçme_sistemleri!I:L,3,FALSE)</f>
        <v>2</v>
      </c>
      <c r="AA19" s="1">
        <f>VLOOKUP(X19,[6]ölçme_sistemleri!I:L,4,FALSE)</f>
        <v>1</v>
      </c>
      <c r="AB19" s="1">
        <f>$O19*[6]ölçme_sistemleri!$J$13</f>
        <v>3</v>
      </c>
      <c r="AC19" s="1">
        <f>$O19*[6]ölçme_sistemleri!$K$13</f>
        <v>6</v>
      </c>
      <c r="AD19" s="1">
        <f>$O19*[6]ölçme_sistemleri!$L$13</f>
        <v>9</v>
      </c>
      <c r="AE19" s="1">
        <f t="shared" si="2"/>
        <v>0</v>
      </c>
      <c r="AF19" s="1">
        <f t="shared" si="3"/>
        <v>12</v>
      </c>
      <c r="AG19" s="1">
        <f t="shared" si="4"/>
        <v>9</v>
      </c>
      <c r="AH19" s="1">
        <f t="shared" si="5"/>
        <v>21</v>
      </c>
      <c r="AI19" s="1">
        <v>14</v>
      </c>
      <c r="AJ19" s="1">
        <f>VLOOKUP(X19,[6]ölçme_sistemleri!I:M,5,FALSE)</f>
        <v>2</v>
      </c>
      <c r="AK19" s="1">
        <f t="shared" si="6"/>
        <v>294</v>
      </c>
      <c r="AL19" s="1">
        <f>(Q19+S19)*AI19</f>
        <v>42</v>
      </c>
      <c r="AM19" s="1">
        <f>VLOOKUP(X19,[6]ölçme_sistemleri!I:N,6,FALSE)</f>
        <v>3</v>
      </c>
      <c r="AN19" s="1">
        <v>2</v>
      </c>
      <c r="AO19" s="1">
        <f t="shared" si="7"/>
        <v>6</v>
      </c>
      <c r="AP19" s="1">
        <v>14</v>
      </c>
      <c r="AQ19" s="1">
        <f t="shared" si="8"/>
        <v>42</v>
      </c>
      <c r="AR19" s="1">
        <f t="shared" si="9"/>
        <v>111</v>
      </c>
      <c r="AS19" s="1">
        <f>IF(BE19="s",30,25)</f>
        <v>30</v>
      </c>
      <c r="AT19" s="1">
        <f t="shared" si="11"/>
        <v>4</v>
      </c>
      <c r="AU19" s="1">
        <f t="shared" si="12"/>
        <v>0</v>
      </c>
      <c r="AV19" s="1">
        <f t="shared" si="13"/>
        <v>0</v>
      </c>
      <c r="AW19" s="1">
        <f t="shared" si="14"/>
        <v>0</v>
      </c>
      <c r="AX19" s="1">
        <f t="shared" si="15"/>
        <v>0</v>
      </c>
      <c r="AY19" s="1">
        <f t="shared" si="16"/>
        <v>-21</v>
      </c>
      <c r="AZ19" s="1">
        <f t="shared" si="17"/>
        <v>0</v>
      </c>
      <c r="BA19" s="1">
        <f t="shared" si="18"/>
        <v>-42</v>
      </c>
      <c r="BB19" s="1">
        <f t="shared" si="19"/>
        <v>0</v>
      </c>
      <c r="BC19" s="1">
        <f t="shared" si="20"/>
        <v>-6</v>
      </c>
      <c r="BD19" s="1">
        <f t="shared" si="21"/>
        <v>0</v>
      </c>
      <c r="BE19" s="1" t="s">
        <v>65</v>
      </c>
      <c r="BF19" s="1">
        <f t="shared" si="22"/>
        <v>42</v>
      </c>
      <c r="BG19" s="1">
        <f t="shared" si="23"/>
        <v>42</v>
      </c>
      <c r="BH19" s="1">
        <f t="shared" si="24"/>
        <v>1</v>
      </c>
      <c r="BI19" s="1" t="e">
        <f>IF(BH19-#REF!=0,"DOĞRU","YANLIŞ")</f>
        <v>#REF!</v>
      </c>
      <c r="BJ19" s="1" t="e">
        <f>#REF!-BH19</f>
        <v>#REF!</v>
      </c>
      <c r="BK19" s="1">
        <v>0</v>
      </c>
      <c r="BM19" s="1">
        <v>0</v>
      </c>
      <c r="BO19" s="1">
        <v>2</v>
      </c>
      <c r="BT19" s="8">
        <f t="shared" si="25"/>
        <v>0</v>
      </c>
      <c r="BU19" s="9"/>
      <c r="BV19" s="10"/>
      <c r="BW19" s="11"/>
      <c r="BX19" s="11"/>
      <c r="BY19" s="11"/>
      <c r="BZ19" s="11"/>
      <c r="CA19" s="11"/>
      <c r="CB19" s="12"/>
      <c r="CC19" s="13"/>
      <c r="CD19" s="14"/>
      <c r="CL19" s="11"/>
      <c r="CM19" s="11"/>
      <c r="CN19" s="11"/>
      <c r="CO19" s="11"/>
      <c r="CP19" s="11"/>
      <c r="CQ19" s="46"/>
      <c r="CR19" s="46"/>
      <c r="CS19" s="48"/>
      <c r="CT19" s="48"/>
      <c r="CU19" s="48"/>
      <c r="CV19" s="48"/>
      <c r="CW19" s="49"/>
      <c r="CX19" s="49"/>
    </row>
    <row r="20" spans="1:102" hidden="1" x14ac:dyDescent="0.25">
      <c r="A20" s="1" t="s">
        <v>99</v>
      </c>
      <c r="B20" s="1" t="s">
        <v>100</v>
      </c>
      <c r="C20" s="1" t="s">
        <v>100</v>
      </c>
      <c r="D20" s="2" t="s">
        <v>63</v>
      </c>
      <c r="E20" s="2" t="s">
        <v>63</v>
      </c>
      <c r="F20" s="3" t="e">
        <f>IF(BE20="S",
IF(#REF!+BM20=2018,
IF(#REF!=1,"18-19/1",
IF(#REF!=2,"18-19/2",
IF(#REF!=3,"19-20/1",
IF(#REF!=4,"19-20/2",
IF(#REF!=5,"20-21/1",
IF(#REF!=6,"20-21/2",
IF(#REF!=7,"21-22/1",
IF(#REF!=8,"21-22/2","Hata1")))))))),
IF(#REF!+BM20=2019,
IF(#REF!=1,"19-20/1",
IF(#REF!=2,"19-20/2",
IF(#REF!=3,"20-21/1",
IF(#REF!=4,"20-21/2",
IF(#REF!=5,"21-22/1",
IF(#REF!=6,"21-22/2",
IF(#REF!=7,"22-23/1",
IF(#REF!=8,"22-23/2","Hata2")))))))),
IF(#REF!+BM20=2020,
IF(#REF!=1,"20-21/1",
IF(#REF!=2,"20-21/2",
IF(#REF!=3,"21-22/1",
IF(#REF!=4,"21-22/2",
IF(#REF!=5,"22-23/1",
IF(#REF!=6,"22-23/2",
IF(#REF!=7,"23-24/1",
IF(#REF!=8,"23-24/2","Hata3")))))))),
IF(#REF!+BM20=2021,
IF(#REF!=1,"21-22/1",
IF(#REF!=2,"21-22/2",
IF(#REF!=3,"22-23/1",
IF(#REF!=4,"22-23/2",
IF(#REF!=5,"23-24/1",
IF(#REF!=6,"23-24/2",
IF(#REF!=7,"24-25/1",
IF(#REF!=8,"24-25/2","Hata4")))))))),
IF(#REF!+BM20=2022,
IF(#REF!=1,"22-23/1",
IF(#REF!=2,"22-23/2",
IF(#REF!=3,"23-24/1",
IF(#REF!=4,"23-24/2",
IF(#REF!=5,"24-25/1",
IF(#REF!=6,"24-25/2",
IF(#REF!=7,"25-26/1",
IF(#REF!=8,"25-26/2","Hata5")))))))),
IF(#REF!+BM20=2023,
IF(#REF!=1,"23-24/1",
IF(#REF!=2,"23-24/2",
IF(#REF!=3,"24-25/1",
IF(#REF!=4,"24-25/2",
IF(#REF!=5,"25-26/1",
IF(#REF!=6,"25-26/2",
IF(#REF!=7,"26-27/1",
IF(#REF!=8,"26-27/2","Hata6")))))))),
)))))),
IF(BE20="T",
IF(#REF!+BM20=2018,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" s="1" t="s">
        <v>73</v>
      </c>
      <c r="J20" s="1">
        <v>4234782</v>
      </c>
      <c r="L20" s="2">
        <v>3439</v>
      </c>
      <c r="N20" s="2">
        <v>5</v>
      </c>
      <c r="O20" s="6">
        <f t="shared" si="0"/>
        <v>3</v>
      </c>
      <c r="P20" s="2">
        <f t="shared" si="1"/>
        <v>3</v>
      </c>
      <c r="Q20" s="2">
        <v>0</v>
      </c>
      <c r="R20" s="2">
        <v>0</v>
      </c>
      <c r="S20" s="2">
        <v>3</v>
      </c>
      <c r="X20" s="3">
        <v>3</v>
      </c>
      <c r="Y20" s="1">
        <f>VLOOKUP(X20,[1]ölçme_sistemleri!I:L,2,FALSE)</f>
        <v>2</v>
      </c>
      <c r="Z20" s="1">
        <f>VLOOKUP(X20,[1]ölçme_sistemleri!I:L,3,FALSE)</f>
        <v>1</v>
      </c>
      <c r="AA20" s="1">
        <f>VLOOKUP(X20,[1]ölçme_sistemleri!I:L,4,FALSE)</f>
        <v>1</v>
      </c>
      <c r="AB20" s="1">
        <f>$O20*[1]ölçme_sistemleri!$J$13</f>
        <v>3</v>
      </c>
      <c r="AC20" s="1">
        <f>$O20*[1]ölçme_sistemleri!$K$13</f>
        <v>6</v>
      </c>
      <c r="AD20" s="1">
        <f>$O20*[1]ölçme_sistemleri!$L$13</f>
        <v>9</v>
      </c>
      <c r="AE20" s="1">
        <f t="shared" si="2"/>
        <v>6</v>
      </c>
      <c r="AF20" s="1">
        <f t="shared" si="3"/>
        <v>6</v>
      </c>
      <c r="AG20" s="1">
        <f t="shared" si="4"/>
        <v>9</v>
      </c>
      <c r="AH20" s="1">
        <f t="shared" si="5"/>
        <v>21</v>
      </c>
      <c r="AI20" s="1">
        <v>14</v>
      </c>
      <c r="AJ20" s="1">
        <f>VLOOKUP(X20,[1]ölçme_sistemleri!I:M,5,FALSE)</f>
        <v>3</v>
      </c>
      <c r="AK20" s="1">
        <f t="shared" si="6"/>
        <v>294</v>
      </c>
      <c r="AL20" s="1">
        <f>(Q20+S20)*AI20</f>
        <v>42</v>
      </c>
      <c r="AM20" s="1">
        <f>VLOOKUP(X20,[1]ölçme_sistemleri!I:N,6,FALSE)</f>
        <v>4</v>
      </c>
      <c r="AN20" s="1">
        <v>2</v>
      </c>
      <c r="AO20" s="1">
        <f t="shared" si="7"/>
        <v>8</v>
      </c>
      <c r="AP20" s="1">
        <v>14</v>
      </c>
      <c r="AQ20" s="1">
        <f t="shared" si="8"/>
        <v>42</v>
      </c>
      <c r="AR20" s="1">
        <f t="shared" si="9"/>
        <v>113</v>
      </c>
      <c r="AS20" s="1">
        <f>IF(BE20="s",25,30)</f>
        <v>25</v>
      </c>
      <c r="AT20" s="1">
        <f t="shared" si="11"/>
        <v>5</v>
      </c>
      <c r="AU20" s="1">
        <f t="shared" si="12"/>
        <v>0</v>
      </c>
      <c r="AV20" s="1">
        <f t="shared" si="13"/>
        <v>0</v>
      </c>
      <c r="AW20" s="1">
        <f t="shared" si="14"/>
        <v>0</v>
      </c>
      <c r="AX20" s="1">
        <f t="shared" si="15"/>
        <v>0</v>
      </c>
      <c r="AY20" s="1">
        <f t="shared" si="16"/>
        <v>-21</v>
      </c>
      <c r="AZ20" s="1">
        <f t="shared" si="17"/>
        <v>0</v>
      </c>
      <c r="BA20" s="1">
        <f t="shared" si="18"/>
        <v>-42</v>
      </c>
      <c r="BB20" s="1">
        <f t="shared" si="19"/>
        <v>0</v>
      </c>
      <c r="BC20" s="1">
        <f t="shared" si="20"/>
        <v>-8</v>
      </c>
      <c r="BD20" s="1">
        <f t="shared" si="21"/>
        <v>0</v>
      </c>
      <c r="BE20" s="1" t="s">
        <v>65</v>
      </c>
      <c r="BF20" s="1">
        <f t="shared" si="22"/>
        <v>42</v>
      </c>
      <c r="BG20" s="1">
        <f t="shared" si="23"/>
        <v>42</v>
      </c>
      <c r="BH20" s="1">
        <f t="shared" si="24"/>
        <v>1</v>
      </c>
      <c r="BI20" s="1" t="e">
        <f>IF(BH20-#REF!=0,"DOĞRU","YANLIŞ")</f>
        <v>#REF!</v>
      </c>
      <c r="BJ20" s="1" t="e">
        <f>#REF!-BH20</f>
        <v>#REF!</v>
      </c>
      <c r="BK20" s="1">
        <v>0</v>
      </c>
      <c r="BM20" s="1">
        <v>0</v>
      </c>
      <c r="BO20" s="1">
        <v>2</v>
      </c>
      <c r="BT20" s="8">
        <f t="shared" si="25"/>
        <v>0</v>
      </c>
      <c r="BU20" s="9"/>
      <c r="BV20" s="10"/>
      <c r="BW20" s="11"/>
      <c r="BX20" s="11"/>
      <c r="BY20" s="11"/>
      <c r="BZ20" s="11"/>
      <c r="CA20" s="11"/>
      <c r="CB20" s="12"/>
      <c r="CC20" s="13"/>
      <c r="CD20" s="14"/>
      <c r="CL20" s="11"/>
      <c r="CM20" s="11"/>
      <c r="CN20" s="11"/>
      <c r="CO20" s="11"/>
      <c r="CP20" s="11"/>
      <c r="CQ20" s="54"/>
      <c r="CR20" s="46"/>
      <c r="CS20" s="54"/>
      <c r="CT20" s="48"/>
      <c r="CU20" s="48"/>
      <c r="CV20" s="48"/>
      <c r="CW20" s="49"/>
      <c r="CX20" s="49"/>
    </row>
    <row r="21" spans="1:102" hidden="1" x14ac:dyDescent="0.25">
      <c r="A21" s="1" t="s">
        <v>79</v>
      </c>
      <c r="B21" s="1" t="s">
        <v>80</v>
      </c>
      <c r="C21" s="1" t="s">
        <v>80</v>
      </c>
      <c r="D21" s="2" t="s">
        <v>58</v>
      </c>
      <c r="E21" s="2" t="s">
        <v>58</v>
      </c>
      <c r="F21" s="3" t="e">
        <f>IF(BE21="S",
IF(#REF!+BM21=2018,
IF(#REF!=1,"18-19/1",
IF(#REF!=2,"18-19/2",
IF(#REF!=3,"19-20/1",
IF(#REF!=4,"19-20/2",
IF(#REF!=5,"20-21/1",
IF(#REF!=6,"20-21/2",
IF(#REF!=7,"21-22/1",
IF(#REF!=8,"21-22/2","Hata1")))))))),
IF(#REF!+BM21=2019,
IF(#REF!=1,"19-20/1",
IF(#REF!=2,"19-20/2",
IF(#REF!=3,"20-21/1",
IF(#REF!=4,"20-21/2",
IF(#REF!=5,"21-22/1",
IF(#REF!=6,"21-22/2",
IF(#REF!=7,"22-23/1",
IF(#REF!=8,"22-23/2","Hata2")))))))),
IF(#REF!+BM21=2020,
IF(#REF!=1,"20-21/1",
IF(#REF!=2,"20-21/2",
IF(#REF!=3,"21-22/1",
IF(#REF!=4,"21-22/2",
IF(#REF!=5,"22-23/1",
IF(#REF!=6,"22-23/2",
IF(#REF!=7,"23-24/1",
IF(#REF!=8,"23-24/2","Hata3")))))))),
IF(#REF!+BM21=2021,
IF(#REF!=1,"21-22/1",
IF(#REF!=2,"21-22/2",
IF(#REF!=3,"22-23/1",
IF(#REF!=4,"22-23/2",
IF(#REF!=5,"23-24/1",
IF(#REF!=6,"23-24/2",
IF(#REF!=7,"24-25/1",
IF(#REF!=8,"24-25/2","Hata4")))))))),
IF(#REF!+BM21=2022,
IF(#REF!=1,"22-23/1",
IF(#REF!=2,"22-23/2",
IF(#REF!=3,"23-24/1",
IF(#REF!=4,"23-24/2",
IF(#REF!=5,"24-25/1",
IF(#REF!=6,"24-25/2",
IF(#REF!=7,"25-26/1",
IF(#REF!=8,"25-26/2","Hata5")))))))),
IF(#REF!+BM21=2023,
IF(#REF!=1,"23-24/1",
IF(#REF!=2,"23-24/2",
IF(#REF!=3,"24-25/1",
IF(#REF!=4,"24-25/2",
IF(#REF!=5,"25-26/1",
IF(#REF!=6,"25-26/2",
IF(#REF!=7,"26-27/1",
IF(#REF!=8,"26-27/2","Hata6")))))))),
)))))),
IF(BE21="T",
IF(#REF!+BM21=2018,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1" s="1" t="s">
        <v>73</v>
      </c>
      <c r="J21" s="1">
        <v>4234782</v>
      </c>
      <c r="L21" s="2">
        <v>3401</v>
      </c>
      <c r="N21" s="2">
        <v>4</v>
      </c>
      <c r="O21" s="6">
        <f t="shared" si="0"/>
        <v>2</v>
      </c>
      <c r="P21" s="2">
        <f t="shared" si="1"/>
        <v>2</v>
      </c>
      <c r="Q21" s="2">
        <v>2</v>
      </c>
      <c r="R21" s="2">
        <v>0</v>
      </c>
      <c r="S21" s="2">
        <v>0</v>
      </c>
      <c r="X21" s="3">
        <v>4</v>
      </c>
      <c r="Y21" s="1">
        <f>VLOOKUP(X21,[3]ölçme_sistemleri!I:L,2,FALSE)</f>
        <v>0</v>
      </c>
      <c r="Z21" s="1">
        <f>VLOOKUP(X21,[3]ölçme_sistemleri!I:L,3,FALSE)</f>
        <v>1</v>
      </c>
      <c r="AA21" s="1">
        <f>VLOOKUP(X21,[3]ölçme_sistemleri!I:L,4,FALSE)</f>
        <v>1</v>
      </c>
      <c r="AB21" s="1">
        <f>$O21*[3]ölçme_sistemleri!$J$13</f>
        <v>2</v>
      </c>
      <c r="AC21" s="1">
        <f>$O21*[3]ölçme_sistemleri!$K$13</f>
        <v>4</v>
      </c>
      <c r="AD21" s="1">
        <f>$O21*[3]ölçme_sistemleri!$L$13</f>
        <v>6</v>
      </c>
      <c r="AE21" s="1">
        <f t="shared" si="2"/>
        <v>0</v>
      </c>
      <c r="AF21" s="1">
        <f t="shared" si="3"/>
        <v>4</v>
      </c>
      <c r="AG21" s="1">
        <f t="shared" si="4"/>
        <v>6</v>
      </c>
      <c r="AH21" s="1">
        <f t="shared" si="5"/>
        <v>10</v>
      </c>
      <c r="AI21" s="1">
        <v>14</v>
      </c>
      <c r="AJ21" s="1">
        <f>VLOOKUP(X21,[3]ölçme_sistemleri!I:M,5,FALSE)</f>
        <v>1</v>
      </c>
      <c r="AK21" s="1">
        <f t="shared" si="6"/>
        <v>140</v>
      </c>
      <c r="AL21" s="1">
        <f>AI21*4</f>
        <v>56</v>
      </c>
      <c r="AM21" s="1">
        <f>VLOOKUP(X21,[3]ölçme_sistemleri!I:N,6,FALSE)</f>
        <v>2</v>
      </c>
      <c r="AN21" s="1">
        <v>2</v>
      </c>
      <c r="AO21" s="1">
        <f t="shared" si="7"/>
        <v>4</v>
      </c>
      <c r="AP21" s="1">
        <v>14</v>
      </c>
      <c r="AQ21" s="1">
        <f t="shared" si="8"/>
        <v>28</v>
      </c>
      <c r="AR21" s="1">
        <f t="shared" si="9"/>
        <v>98</v>
      </c>
      <c r="AS21" s="1">
        <f>IF(BE21="s",25,25)</f>
        <v>25</v>
      </c>
      <c r="AT21" s="1">
        <f t="shared" si="11"/>
        <v>4</v>
      </c>
      <c r="AU21" s="1">
        <f t="shared" si="12"/>
        <v>0</v>
      </c>
      <c r="AV21" s="1">
        <f t="shared" si="13"/>
        <v>0</v>
      </c>
      <c r="AW21" s="1">
        <f t="shared" si="14"/>
        <v>0</v>
      </c>
      <c r="AX21" s="1">
        <f t="shared" si="15"/>
        <v>0</v>
      </c>
      <c r="AY21" s="1">
        <f t="shared" si="16"/>
        <v>-10</v>
      </c>
      <c r="AZ21" s="1">
        <f t="shared" si="17"/>
        <v>0</v>
      </c>
      <c r="BA21" s="1">
        <f t="shared" si="18"/>
        <v>-56</v>
      </c>
      <c r="BB21" s="1">
        <f t="shared" si="19"/>
        <v>0</v>
      </c>
      <c r="BC21" s="1">
        <f t="shared" si="20"/>
        <v>-4</v>
      </c>
      <c r="BD21" s="1">
        <f t="shared" si="21"/>
        <v>0</v>
      </c>
      <c r="BE21" s="1" t="s">
        <v>65</v>
      </c>
      <c r="BF21" s="1">
        <f t="shared" si="22"/>
        <v>28</v>
      </c>
      <c r="BG21" s="1">
        <f t="shared" si="23"/>
        <v>28</v>
      </c>
      <c r="BH21" s="1">
        <f t="shared" si="24"/>
        <v>1</v>
      </c>
      <c r="BI21" s="1" t="e">
        <f>IF(BH21-#REF!=0,"DOĞRU","YANLIŞ")</f>
        <v>#REF!</v>
      </c>
      <c r="BJ21" s="1" t="e">
        <f>#REF!-BH21</f>
        <v>#REF!</v>
      </c>
      <c r="BK21" s="1">
        <v>0</v>
      </c>
      <c r="BM21" s="1">
        <v>0</v>
      </c>
      <c r="BO21" s="1">
        <v>2</v>
      </c>
      <c r="BT21" s="8">
        <f t="shared" si="25"/>
        <v>0</v>
      </c>
      <c r="BU21" s="9"/>
      <c r="BV21" s="10"/>
      <c r="BW21" s="11"/>
      <c r="BX21" s="11"/>
      <c r="BY21" s="11"/>
      <c r="BZ21" s="11"/>
      <c r="CA21" s="11"/>
      <c r="CB21" s="12"/>
      <c r="CC21" s="13"/>
      <c r="CD21" s="14"/>
      <c r="CL21" s="11"/>
      <c r="CM21" s="11"/>
      <c r="CN21" s="11"/>
      <c r="CO21" s="11"/>
      <c r="CP21" s="11"/>
      <c r="CQ21" s="54"/>
      <c r="CR21" s="46"/>
      <c r="CS21" s="48"/>
      <c r="CT21" s="48"/>
      <c r="CU21" s="48"/>
      <c r="CV21" s="48"/>
      <c r="CW21" s="49"/>
      <c r="CX21" s="49"/>
    </row>
    <row r="22" spans="1:102" hidden="1" x14ac:dyDescent="0.25">
      <c r="A22" s="1" t="s">
        <v>369</v>
      </c>
      <c r="B22" s="1" t="s">
        <v>190</v>
      </c>
      <c r="C22" s="1" t="s">
        <v>190</v>
      </c>
      <c r="D22" s="2" t="s">
        <v>63</v>
      </c>
      <c r="E22" s="2" t="s">
        <v>63</v>
      </c>
      <c r="F22" s="3" t="e">
        <f>IF(BE22="S",
IF(#REF!+BM22=2018,
IF(#REF!=1,"18-19/1",
IF(#REF!=2,"18-19/2",
IF(#REF!=3,"19-20/1",
IF(#REF!=4,"19-20/2",
IF(#REF!=5,"20-21/1",
IF(#REF!=6,"20-21/2",
IF(#REF!=7,"21-22/1",
IF(#REF!=8,"21-22/2","Hata1")))))))),
IF(#REF!+BM22=2019,
IF(#REF!=1,"19-20/1",
IF(#REF!=2,"19-20/2",
IF(#REF!=3,"20-21/1",
IF(#REF!=4,"20-21/2",
IF(#REF!=5,"21-22/1",
IF(#REF!=6,"21-22/2",
IF(#REF!=7,"22-23/1",
IF(#REF!=8,"22-23/2","Hata2")))))))),
IF(#REF!+BM22=2020,
IF(#REF!=1,"20-21/1",
IF(#REF!=2,"20-21/2",
IF(#REF!=3,"21-22/1",
IF(#REF!=4,"21-22/2",
IF(#REF!=5,"22-23/1",
IF(#REF!=6,"22-23/2",
IF(#REF!=7,"23-24/1",
IF(#REF!=8,"23-24/2","Hata3")))))))),
IF(#REF!+BM22=2021,
IF(#REF!=1,"21-22/1",
IF(#REF!=2,"21-22/2",
IF(#REF!=3,"22-23/1",
IF(#REF!=4,"22-23/2",
IF(#REF!=5,"23-24/1",
IF(#REF!=6,"23-24/2",
IF(#REF!=7,"24-25/1",
IF(#REF!=8,"24-25/2","Hata4")))))))),
IF(#REF!+BM22=2022,
IF(#REF!=1,"22-23/1",
IF(#REF!=2,"22-23/2",
IF(#REF!=3,"23-24/1",
IF(#REF!=4,"23-24/2",
IF(#REF!=5,"24-25/1",
IF(#REF!=6,"24-25/2",
IF(#REF!=7,"25-26/1",
IF(#REF!=8,"25-26/2","Hata5")))))))),
IF(#REF!+BM22=2023,
IF(#REF!=1,"23-24/1",
IF(#REF!=2,"23-24/2",
IF(#REF!=3,"24-25/1",
IF(#REF!=4,"24-25/2",
IF(#REF!=5,"25-26/1",
IF(#REF!=6,"25-26/2",
IF(#REF!=7,"26-27/1",
IF(#REF!=8,"26-27/2","Hata6")))))))),
)))))),
IF(BE22="T",
IF(#REF!+BM22=2018,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2" s="1" t="s">
        <v>73</v>
      </c>
      <c r="J22" s="1">
        <v>4234782</v>
      </c>
      <c r="N22" s="2">
        <v>8</v>
      </c>
      <c r="O22" s="6">
        <f t="shared" si="0"/>
        <v>7.5</v>
      </c>
      <c r="P22" s="2">
        <f t="shared" si="1"/>
        <v>15</v>
      </c>
      <c r="Q22" s="2">
        <v>0</v>
      </c>
      <c r="R22" s="2">
        <v>15</v>
      </c>
      <c r="S22" s="2">
        <v>0</v>
      </c>
      <c r="X22" s="3">
        <v>0</v>
      </c>
      <c r="Y22" s="1">
        <f>VLOOKUP($X22,[5]ölçme_sistemleri!I$1:L$65536,2,FALSE)</f>
        <v>0</v>
      </c>
      <c r="Z22" s="1">
        <f>VLOOKUP($X22,[5]ölçme_sistemleri!I$1:L$65536,3,FALSE)</f>
        <v>0</v>
      </c>
      <c r="AA22" s="1">
        <f>VLOOKUP($X22,[5]ölçme_sistemleri!I$1:L$65536,4,FALSE)</f>
        <v>0</v>
      </c>
      <c r="AB22" s="1">
        <f>$O22*[5]ölçme_sistemleri!J$13</f>
        <v>7.5</v>
      </c>
      <c r="AC22" s="1">
        <f>$O22*[5]ölçme_sistemleri!K$13</f>
        <v>15</v>
      </c>
      <c r="AD22" s="1">
        <f>$O22*[5]ölçme_sistemleri!L$13</f>
        <v>22.5</v>
      </c>
      <c r="AE22" s="1">
        <f t="shared" si="2"/>
        <v>0</v>
      </c>
      <c r="AF22" s="1">
        <f t="shared" si="3"/>
        <v>0</v>
      </c>
      <c r="AG22" s="1">
        <f t="shared" si="4"/>
        <v>0</v>
      </c>
      <c r="AH22" s="1">
        <f t="shared" si="5"/>
        <v>0</v>
      </c>
      <c r="AI22" s="1">
        <v>14</v>
      </c>
      <c r="AJ22" s="1">
        <f>VLOOKUP(X22,[5]ölçme_sistemleri!I$1:M$65536,5,FALSE)</f>
        <v>0</v>
      </c>
      <c r="AK22" s="1">
        <f t="shared" si="6"/>
        <v>0</v>
      </c>
      <c r="AL22" s="1">
        <f>(Q22+S22)*AI22</f>
        <v>0</v>
      </c>
      <c r="AM22" s="1">
        <f>VLOOKUP(X22,[5]ölçme_sistemleri!I$1:N$65536,6,FALSE)</f>
        <v>0</v>
      </c>
      <c r="AN22" s="1">
        <v>2</v>
      </c>
      <c r="AO22" s="1">
        <f t="shared" si="7"/>
        <v>0</v>
      </c>
      <c r="AP22" s="1">
        <v>14</v>
      </c>
      <c r="AQ22" s="1">
        <f t="shared" si="8"/>
        <v>210</v>
      </c>
      <c r="AR22" s="1">
        <f t="shared" si="9"/>
        <v>210</v>
      </c>
      <c r="AS22" s="1">
        <f t="shared" ref="AS22:AS27" si="28">IF(BE22="s",25,30)</f>
        <v>25</v>
      </c>
      <c r="AT22" s="1">
        <f t="shared" si="11"/>
        <v>8</v>
      </c>
      <c r="AU22" s="1">
        <f t="shared" si="12"/>
        <v>0</v>
      </c>
      <c r="AV22" s="1">
        <f t="shared" si="13"/>
        <v>0</v>
      </c>
      <c r="AW22" s="1">
        <f t="shared" si="14"/>
        <v>0</v>
      </c>
      <c r="AX22" s="1">
        <f t="shared" si="15"/>
        <v>0</v>
      </c>
      <c r="AY22" s="1">
        <f t="shared" si="16"/>
        <v>-22.5</v>
      </c>
      <c r="AZ22" s="1">
        <f t="shared" si="17"/>
        <v>0</v>
      </c>
      <c r="BA22" s="1">
        <f t="shared" si="18"/>
        <v>0</v>
      </c>
      <c r="BB22" s="1">
        <f t="shared" si="19"/>
        <v>0</v>
      </c>
      <c r="BC22" s="1">
        <f t="shared" si="20"/>
        <v>0</v>
      </c>
      <c r="BD22" s="1">
        <f t="shared" si="21"/>
        <v>0</v>
      </c>
      <c r="BE22" s="1" t="s">
        <v>65</v>
      </c>
      <c r="BF22" s="1">
        <f t="shared" si="22"/>
        <v>105</v>
      </c>
      <c r="BG22" s="1">
        <f t="shared" si="23"/>
        <v>105</v>
      </c>
      <c r="BH22" s="1">
        <f t="shared" si="24"/>
        <v>4</v>
      </c>
      <c r="BI22" s="1" t="e">
        <f>IF(BH22-#REF!=0,"DOĞRU","YANLIŞ")</f>
        <v>#REF!</v>
      </c>
      <c r="BJ22" s="1" t="e">
        <f>#REF!-BH22</f>
        <v>#REF!</v>
      </c>
      <c r="BK22" s="1">
        <v>0</v>
      </c>
      <c r="BM22" s="1">
        <v>0</v>
      </c>
      <c r="BO22" s="1">
        <v>4</v>
      </c>
      <c r="BT22" s="8">
        <f t="shared" si="25"/>
        <v>210</v>
      </c>
      <c r="BU22" s="9"/>
      <c r="BV22" s="10"/>
      <c r="BW22" s="11"/>
      <c r="BX22" s="11"/>
      <c r="BY22" s="11"/>
      <c r="BZ22" s="11"/>
      <c r="CA22" s="11"/>
      <c r="CB22" s="12"/>
      <c r="CC22" s="13"/>
      <c r="CD22" s="14"/>
      <c r="CL22" s="11"/>
      <c r="CM22" s="11"/>
      <c r="CN22" s="11"/>
      <c r="CO22" s="11"/>
      <c r="CP22" s="11"/>
      <c r="CQ22" s="54"/>
      <c r="CR22" s="46"/>
      <c r="CS22" s="54"/>
      <c r="CT22" s="48"/>
      <c r="CU22" s="48"/>
      <c r="CV22" s="48"/>
      <c r="CW22" s="49"/>
      <c r="CX22" s="49"/>
    </row>
    <row r="23" spans="1:102" hidden="1" x14ac:dyDescent="0.25">
      <c r="A23" s="1" t="s">
        <v>117</v>
      </c>
      <c r="B23" s="1" t="s">
        <v>118</v>
      </c>
      <c r="C23" s="1" t="s">
        <v>118</v>
      </c>
      <c r="D23" s="2" t="s">
        <v>58</v>
      </c>
      <c r="E23" s="2" t="s">
        <v>58</v>
      </c>
      <c r="F23" s="3" t="e">
        <f>IF(BE23="S",
IF(#REF!+BM23=2018,
IF(#REF!=1,"18-19/1",
IF(#REF!=2,"18-19/2",
IF(#REF!=3,"19-20/1",
IF(#REF!=4,"19-20/2",
IF(#REF!=5,"20-21/1",
IF(#REF!=6,"20-21/2",
IF(#REF!=7,"21-22/1",
IF(#REF!=8,"21-22/2","Hata1")))))))),
IF(#REF!+BM23=2019,
IF(#REF!=1,"19-20/1",
IF(#REF!=2,"19-20/2",
IF(#REF!=3,"20-21/1",
IF(#REF!=4,"20-21/2",
IF(#REF!=5,"21-22/1",
IF(#REF!=6,"21-22/2",
IF(#REF!=7,"22-23/1",
IF(#REF!=8,"22-23/2","Hata2")))))))),
IF(#REF!+BM23=2020,
IF(#REF!=1,"20-21/1",
IF(#REF!=2,"20-21/2",
IF(#REF!=3,"21-22/1",
IF(#REF!=4,"21-22/2",
IF(#REF!=5,"22-23/1",
IF(#REF!=6,"22-23/2",
IF(#REF!=7,"23-24/1",
IF(#REF!=8,"23-24/2","Hata3")))))))),
IF(#REF!+BM23=2021,
IF(#REF!=1,"21-22/1",
IF(#REF!=2,"21-22/2",
IF(#REF!=3,"22-23/1",
IF(#REF!=4,"22-23/2",
IF(#REF!=5,"23-24/1",
IF(#REF!=6,"23-24/2",
IF(#REF!=7,"24-25/1",
IF(#REF!=8,"24-25/2","Hata4")))))))),
IF(#REF!+BM23=2022,
IF(#REF!=1,"22-23/1",
IF(#REF!=2,"22-23/2",
IF(#REF!=3,"23-24/1",
IF(#REF!=4,"23-24/2",
IF(#REF!=5,"24-25/1",
IF(#REF!=6,"24-25/2",
IF(#REF!=7,"25-26/1",
IF(#REF!=8,"25-26/2","Hata5")))))))),
IF(#REF!+BM23=2023,
IF(#REF!=1,"23-24/1",
IF(#REF!=2,"23-24/2",
IF(#REF!=3,"24-25/1",
IF(#REF!=4,"24-25/2",
IF(#REF!=5,"25-26/1",
IF(#REF!=6,"25-26/2",
IF(#REF!=7,"26-27/1",
IF(#REF!=8,"26-27/2","Hata6")))))))),
)))))),
IF(BE23="T",
IF(#REF!+BM23=2018,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" s="1" t="s">
        <v>73</v>
      </c>
      <c r="J23" s="1">
        <v>4234782</v>
      </c>
      <c r="L23" s="2">
        <v>2702</v>
      </c>
      <c r="N23" s="2">
        <v>4</v>
      </c>
      <c r="O23" s="6">
        <f t="shared" si="0"/>
        <v>2</v>
      </c>
      <c r="P23" s="2">
        <f t="shared" si="1"/>
        <v>2</v>
      </c>
      <c r="Q23" s="2">
        <v>0</v>
      </c>
      <c r="R23" s="2">
        <v>0</v>
      </c>
      <c r="S23" s="2">
        <v>2</v>
      </c>
      <c r="X23" s="3">
        <v>4</v>
      </c>
      <c r="Y23" s="1">
        <f>VLOOKUP(X23,[2]ölçme_sistemleri!I:L,2,FALSE)</f>
        <v>0</v>
      </c>
      <c r="Z23" s="1">
        <f>VLOOKUP(X23,[2]ölçme_sistemleri!I:L,3,FALSE)</f>
        <v>1</v>
      </c>
      <c r="AA23" s="1">
        <f>VLOOKUP(X23,[2]ölçme_sistemleri!I:L,4,FALSE)</f>
        <v>1</v>
      </c>
      <c r="AB23" s="1">
        <f>$O23*[2]ölçme_sistemleri!$J$13</f>
        <v>2</v>
      </c>
      <c r="AC23" s="1">
        <f>$O23*[2]ölçme_sistemleri!$K$13</f>
        <v>4</v>
      </c>
      <c r="AD23" s="1">
        <f>$O23*[2]ölçme_sistemleri!$L$13</f>
        <v>6</v>
      </c>
      <c r="AE23" s="1">
        <f t="shared" si="2"/>
        <v>0</v>
      </c>
      <c r="AF23" s="1">
        <f t="shared" si="3"/>
        <v>4</v>
      </c>
      <c r="AG23" s="1">
        <f t="shared" si="4"/>
        <v>6</v>
      </c>
      <c r="AH23" s="1">
        <f t="shared" si="5"/>
        <v>10</v>
      </c>
      <c r="AI23" s="1">
        <v>14</v>
      </c>
      <c r="AJ23" s="1">
        <f>VLOOKUP(X23,[2]ölçme_sistemleri!I:M,5,FALSE)</f>
        <v>1</v>
      </c>
      <c r="AK23" s="1">
        <f t="shared" si="6"/>
        <v>140</v>
      </c>
      <c r="AL23" s="1">
        <f>AI23*4</f>
        <v>56</v>
      </c>
      <c r="AM23" s="1">
        <f>VLOOKUP(X23,[2]ölçme_sistemleri!I:N,6,FALSE)</f>
        <v>2</v>
      </c>
      <c r="AN23" s="1">
        <v>2</v>
      </c>
      <c r="AO23" s="1">
        <f t="shared" si="7"/>
        <v>4</v>
      </c>
      <c r="AP23" s="1">
        <v>14</v>
      </c>
      <c r="AQ23" s="1">
        <f t="shared" si="8"/>
        <v>28</v>
      </c>
      <c r="AR23" s="1">
        <f t="shared" si="9"/>
        <v>98</v>
      </c>
      <c r="AS23" s="1">
        <f t="shared" si="28"/>
        <v>25</v>
      </c>
      <c r="AT23" s="1">
        <f t="shared" si="11"/>
        <v>4</v>
      </c>
      <c r="AU23" s="1">
        <f t="shared" si="12"/>
        <v>0</v>
      </c>
      <c r="AV23" s="1">
        <f t="shared" si="13"/>
        <v>0</v>
      </c>
      <c r="AW23" s="1">
        <f t="shared" si="14"/>
        <v>0</v>
      </c>
      <c r="AX23" s="1">
        <f t="shared" si="15"/>
        <v>0</v>
      </c>
      <c r="AY23" s="1">
        <f t="shared" si="16"/>
        <v>-10</v>
      </c>
      <c r="AZ23" s="1">
        <f t="shared" si="17"/>
        <v>0</v>
      </c>
      <c r="BA23" s="1">
        <f t="shared" si="18"/>
        <v>-56</v>
      </c>
      <c r="BB23" s="1">
        <f t="shared" si="19"/>
        <v>0</v>
      </c>
      <c r="BC23" s="1">
        <f t="shared" si="20"/>
        <v>-4</v>
      </c>
      <c r="BD23" s="1">
        <f t="shared" si="21"/>
        <v>0</v>
      </c>
      <c r="BE23" s="1" t="s">
        <v>65</v>
      </c>
      <c r="BF23" s="1">
        <f t="shared" si="22"/>
        <v>28</v>
      </c>
      <c r="BG23" s="1">
        <f t="shared" si="23"/>
        <v>28</v>
      </c>
      <c r="BH23" s="1">
        <f t="shared" si="24"/>
        <v>1</v>
      </c>
      <c r="BI23" s="1" t="e">
        <f>IF(BH23-#REF!=0,"DOĞRU","YANLIŞ")</f>
        <v>#REF!</v>
      </c>
      <c r="BJ23" s="1" t="e">
        <f>#REF!-BH23</f>
        <v>#REF!</v>
      </c>
      <c r="BK23" s="1">
        <v>0</v>
      </c>
      <c r="BM23" s="1">
        <v>0</v>
      </c>
      <c r="BO23" s="1">
        <v>0</v>
      </c>
      <c r="BT23" s="8">
        <f t="shared" si="25"/>
        <v>0</v>
      </c>
      <c r="BU23" s="9"/>
      <c r="BV23" s="10"/>
      <c r="BW23" s="11"/>
      <c r="BX23" s="11"/>
      <c r="BY23" s="11"/>
      <c r="BZ23" s="11"/>
      <c r="CA23" s="11"/>
      <c r="CB23" s="12"/>
      <c r="CC23" s="13"/>
      <c r="CD23" s="14"/>
      <c r="CL23" s="11"/>
      <c r="CM23" s="11"/>
      <c r="CN23" s="11"/>
      <c r="CO23" s="11"/>
      <c r="CP23" s="11"/>
      <c r="CQ23" s="46"/>
      <c r="CR23" s="46"/>
      <c r="CS23" s="48"/>
      <c r="CT23" s="48"/>
      <c r="CU23" s="48"/>
      <c r="CV23" s="48"/>
      <c r="CW23" s="49"/>
      <c r="CX23" s="49"/>
    </row>
    <row r="24" spans="1:102" hidden="1" x14ac:dyDescent="0.25">
      <c r="A24" s="1" t="s">
        <v>109</v>
      </c>
      <c r="B24" s="1" t="s">
        <v>110</v>
      </c>
      <c r="C24" s="1" t="s">
        <v>110</v>
      </c>
      <c r="D24" s="2" t="s">
        <v>58</v>
      </c>
      <c r="E24" s="2" t="s">
        <v>58</v>
      </c>
      <c r="F24" s="3" t="e">
        <f>IF(BE24="S",
IF(#REF!+BM24=2018,
IF(#REF!=1,"18-19/1",
IF(#REF!=2,"18-19/2",
IF(#REF!=3,"19-20/1",
IF(#REF!=4,"19-20/2",
IF(#REF!=5,"20-21/1",
IF(#REF!=6,"20-21/2",
IF(#REF!=7,"21-22/1",
IF(#REF!=8,"21-22/2","Hata1")))))))),
IF(#REF!+BM24=2019,
IF(#REF!=1,"19-20/1",
IF(#REF!=2,"19-20/2",
IF(#REF!=3,"20-21/1",
IF(#REF!=4,"20-21/2",
IF(#REF!=5,"21-22/1",
IF(#REF!=6,"21-22/2",
IF(#REF!=7,"22-23/1",
IF(#REF!=8,"22-23/2","Hata2")))))))),
IF(#REF!+BM24=2020,
IF(#REF!=1,"20-21/1",
IF(#REF!=2,"20-21/2",
IF(#REF!=3,"21-22/1",
IF(#REF!=4,"21-22/2",
IF(#REF!=5,"22-23/1",
IF(#REF!=6,"22-23/2",
IF(#REF!=7,"23-24/1",
IF(#REF!=8,"23-24/2","Hata3")))))))),
IF(#REF!+BM24=2021,
IF(#REF!=1,"21-22/1",
IF(#REF!=2,"21-22/2",
IF(#REF!=3,"22-23/1",
IF(#REF!=4,"22-23/2",
IF(#REF!=5,"23-24/1",
IF(#REF!=6,"23-24/2",
IF(#REF!=7,"24-25/1",
IF(#REF!=8,"24-25/2","Hata4")))))))),
IF(#REF!+BM24=2022,
IF(#REF!=1,"22-23/1",
IF(#REF!=2,"22-23/2",
IF(#REF!=3,"23-24/1",
IF(#REF!=4,"23-24/2",
IF(#REF!=5,"24-25/1",
IF(#REF!=6,"24-25/2",
IF(#REF!=7,"25-26/1",
IF(#REF!=8,"25-26/2","Hata5")))))))),
IF(#REF!+BM24=2023,
IF(#REF!=1,"23-24/1",
IF(#REF!=2,"23-24/2",
IF(#REF!=3,"24-25/1",
IF(#REF!=4,"24-25/2",
IF(#REF!=5,"25-26/1",
IF(#REF!=6,"25-26/2",
IF(#REF!=7,"26-27/1",
IF(#REF!=8,"26-27/2","Hata6")))))))),
)))))),
IF(BE24="T",
IF(#REF!+BM24=2018,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" s="1" t="s">
        <v>73</v>
      </c>
      <c r="J24" s="1">
        <v>4234782</v>
      </c>
      <c r="L24" s="2">
        <v>3448</v>
      </c>
      <c r="N24" s="2">
        <v>4</v>
      </c>
      <c r="O24" s="6">
        <f t="shared" si="0"/>
        <v>2</v>
      </c>
      <c r="P24" s="2">
        <f t="shared" si="1"/>
        <v>2</v>
      </c>
      <c r="Q24" s="2">
        <v>0</v>
      </c>
      <c r="R24" s="2">
        <v>0</v>
      </c>
      <c r="S24" s="2">
        <v>2</v>
      </c>
      <c r="X24" s="3">
        <v>4</v>
      </c>
      <c r="Y24" s="1">
        <f>VLOOKUP(X24,[3]ölçme_sistemleri!I:L,2,FALSE)</f>
        <v>0</v>
      </c>
      <c r="Z24" s="1">
        <f>VLOOKUP(X24,[3]ölçme_sistemleri!I:L,3,FALSE)</f>
        <v>1</v>
      </c>
      <c r="AA24" s="1">
        <f>VLOOKUP(X24,[3]ölçme_sistemleri!I:L,4,FALSE)</f>
        <v>1</v>
      </c>
      <c r="AB24" s="1">
        <f>$O24*[3]ölçme_sistemleri!$J$13</f>
        <v>2</v>
      </c>
      <c r="AC24" s="1">
        <f>$O24*[3]ölçme_sistemleri!$K$13</f>
        <v>4</v>
      </c>
      <c r="AD24" s="1">
        <f>$O24*[3]ölçme_sistemleri!$L$13</f>
        <v>6</v>
      </c>
      <c r="AE24" s="1">
        <f t="shared" si="2"/>
        <v>0</v>
      </c>
      <c r="AF24" s="1">
        <f t="shared" si="3"/>
        <v>4</v>
      </c>
      <c r="AG24" s="1">
        <f t="shared" si="4"/>
        <v>6</v>
      </c>
      <c r="AH24" s="1">
        <f t="shared" si="5"/>
        <v>10</v>
      </c>
      <c r="AI24" s="1">
        <v>14</v>
      </c>
      <c r="AJ24" s="1">
        <f>VLOOKUP(X24,[3]ölçme_sistemleri!I:M,5,FALSE)</f>
        <v>1</v>
      </c>
      <c r="AK24" s="1">
        <f t="shared" si="6"/>
        <v>140</v>
      </c>
      <c r="AL24" s="1">
        <f>AI24*4</f>
        <v>56</v>
      </c>
      <c r="AM24" s="1">
        <f>VLOOKUP(X24,[3]ölçme_sistemleri!I:N,6,FALSE)</f>
        <v>2</v>
      </c>
      <c r="AN24" s="1">
        <v>2</v>
      </c>
      <c r="AO24" s="1">
        <f t="shared" si="7"/>
        <v>4</v>
      </c>
      <c r="AP24" s="1">
        <v>14</v>
      </c>
      <c r="AQ24" s="1">
        <f t="shared" si="8"/>
        <v>28</v>
      </c>
      <c r="AR24" s="1">
        <f t="shared" si="9"/>
        <v>98</v>
      </c>
      <c r="AS24" s="1">
        <f t="shared" si="28"/>
        <v>25</v>
      </c>
      <c r="AT24" s="1">
        <f t="shared" si="11"/>
        <v>4</v>
      </c>
      <c r="AU24" s="1">
        <f t="shared" si="12"/>
        <v>0</v>
      </c>
      <c r="AV24" s="1">
        <f t="shared" si="13"/>
        <v>0</v>
      </c>
      <c r="AW24" s="1">
        <f t="shared" si="14"/>
        <v>0</v>
      </c>
      <c r="AX24" s="1">
        <f t="shared" si="15"/>
        <v>0</v>
      </c>
      <c r="AY24" s="1">
        <f t="shared" si="16"/>
        <v>-10</v>
      </c>
      <c r="AZ24" s="1">
        <f t="shared" si="17"/>
        <v>0</v>
      </c>
      <c r="BA24" s="1">
        <f t="shared" si="18"/>
        <v>-56</v>
      </c>
      <c r="BB24" s="1">
        <f t="shared" si="19"/>
        <v>0</v>
      </c>
      <c r="BC24" s="1">
        <f t="shared" si="20"/>
        <v>-4</v>
      </c>
      <c r="BD24" s="1">
        <f t="shared" si="21"/>
        <v>0</v>
      </c>
      <c r="BE24" s="1" t="s">
        <v>65</v>
      </c>
      <c r="BF24" s="1">
        <f t="shared" si="22"/>
        <v>28</v>
      </c>
      <c r="BG24" s="1">
        <f t="shared" si="23"/>
        <v>28</v>
      </c>
      <c r="BH24" s="1">
        <f t="shared" si="24"/>
        <v>1</v>
      </c>
      <c r="BI24" s="1" t="e">
        <f>IF(BH24-#REF!=0,"DOĞRU","YANLIŞ")</f>
        <v>#REF!</v>
      </c>
      <c r="BJ24" s="1" t="e">
        <f>#REF!-BH24</f>
        <v>#REF!</v>
      </c>
      <c r="BK24" s="1">
        <v>0</v>
      </c>
      <c r="BM24" s="1">
        <v>0</v>
      </c>
      <c r="BO24" s="1">
        <v>2</v>
      </c>
      <c r="BT24" s="8">
        <f t="shared" si="25"/>
        <v>0</v>
      </c>
      <c r="BU24" s="9"/>
      <c r="BV24" s="10"/>
      <c r="BW24" s="11"/>
      <c r="BX24" s="11"/>
      <c r="BY24" s="11"/>
      <c r="BZ24" s="11"/>
      <c r="CA24" s="11"/>
      <c r="CB24" s="12"/>
      <c r="CC24" s="13"/>
      <c r="CD24" s="14"/>
      <c r="CL24" s="11"/>
      <c r="CM24" s="11"/>
      <c r="CN24" s="11"/>
      <c r="CO24" s="11"/>
      <c r="CP24" s="11"/>
      <c r="CQ24" s="54"/>
      <c r="CR24" s="46"/>
      <c r="CS24" s="48"/>
      <c r="CT24" s="48"/>
      <c r="CU24" s="48"/>
      <c r="CV24" s="48"/>
      <c r="CW24" s="49"/>
      <c r="CX24" s="49"/>
    </row>
    <row r="25" spans="1:102" hidden="1" x14ac:dyDescent="0.25">
      <c r="A25" s="1" t="s">
        <v>113</v>
      </c>
      <c r="B25" s="1" t="s">
        <v>114</v>
      </c>
      <c r="C25" s="1" t="s">
        <v>114</v>
      </c>
      <c r="D25" s="2" t="s">
        <v>63</v>
      </c>
      <c r="E25" s="2" t="s">
        <v>63</v>
      </c>
      <c r="F25" s="3" t="e">
        <f>IF(BE25="S",
IF(#REF!+BM25=2018,
IF(#REF!=1,"18-19/1",
IF(#REF!=2,"18-19/2",
IF(#REF!=3,"19-20/1",
IF(#REF!=4,"19-20/2",
IF(#REF!=5,"20-21/1",
IF(#REF!=6,"20-21/2",
IF(#REF!=7,"21-22/1",
IF(#REF!=8,"21-22/2","Hata1")))))))),
IF(#REF!+BM25=2019,
IF(#REF!=1,"19-20/1",
IF(#REF!=2,"19-20/2",
IF(#REF!=3,"20-21/1",
IF(#REF!=4,"20-21/2",
IF(#REF!=5,"21-22/1",
IF(#REF!=6,"21-22/2",
IF(#REF!=7,"22-23/1",
IF(#REF!=8,"22-23/2","Hata2")))))))),
IF(#REF!+BM25=2020,
IF(#REF!=1,"20-21/1",
IF(#REF!=2,"20-21/2",
IF(#REF!=3,"21-22/1",
IF(#REF!=4,"21-22/2",
IF(#REF!=5,"22-23/1",
IF(#REF!=6,"22-23/2",
IF(#REF!=7,"23-24/1",
IF(#REF!=8,"23-24/2","Hata3")))))))),
IF(#REF!+BM25=2021,
IF(#REF!=1,"21-22/1",
IF(#REF!=2,"21-22/2",
IF(#REF!=3,"22-23/1",
IF(#REF!=4,"22-23/2",
IF(#REF!=5,"23-24/1",
IF(#REF!=6,"23-24/2",
IF(#REF!=7,"24-25/1",
IF(#REF!=8,"24-25/2","Hata4")))))))),
IF(#REF!+BM25=2022,
IF(#REF!=1,"22-23/1",
IF(#REF!=2,"22-23/2",
IF(#REF!=3,"23-24/1",
IF(#REF!=4,"23-24/2",
IF(#REF!=5,"24-25/1",
IF(#REF!=6,"24-25/2",
IF(#REF!=7,"25-26/1",
IF(#REF!=8,"25-26/2","Hata5")))))))),
IF(#REF!+BM25=2023,
IF(#REF!=1,"23-24/1",
IF(#REF!=2,"23-24/2",
IF(#REF!=3,"24-25/1",
IF(#REF!=4,"24-25/2",
IF(#REF!=5,"25-26/1",
IF(#REF!=6,"25-26/2",
IF(#REF!=7,"26-27/1",
IF(#REF!=8,"26-27/2","Hata6")))))))),
)))))),
IF(BE25="T",
IF(#REF!+BM25=2018,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" s="1" t="s">
        <v>73</v>
      </c>
      <c r="J25" s="1">
        <v>4234782</v>
      </c>
      <c r="L25" s="2">
        <v>2712</v>
      </c>
      <c r="N25" s="2">
        <v>4</v>
      </c>
      <c r="O25" s="6">
        <f t="shared" si="0"/>
        <v>2</v>
      </c>
      <c r="P25" s="2">
        <f t="shared" si="1"/>
        <v>2</v>
      </c>
      <c r="Q25" s="2">
        <v>0</v>
      </c>
      <c r="R25" s="2">
        <v>0</v>
      </c>
      <c r="S25" s="2">
        <v>2</v>
      </c>
      <c r="X25" s="3">
        <v>4</v>
      </c>
      <c r="Y25" s="1">
        <f>VLOOKUP(X25,[2]ölçme_sistemleri!I:L,2,FALSE)</f>
        <v>0</v>
      </c>
      <c r="Z25" s="1">
        <f>VLOOKUP(X25,[2]ölçme_sistemleri!I:L,3,FALSE)</f>
        <v>1</v>
      </c>
      <c r="AA25" s="1">
        <f>VLOOKUP(X25,[2]ölçme_sistemleri!I:L,4,FALSE)</f>
        <v>1</v>
      </c>
      <c r="AB25" s="1">
        <f>$O25*[2]ölçme_sistemleri!$J$13</f>
        <v>2</v>
      </c>
      <c r="AC25" s="1">
        <f>$O25*[2]ölçme_sistemleri!$K$13</f>
        <v>4</v>
      </c>
      <c r="AD25" s="1">
        <f>$O25*[2]ölçme_sistemleri!$L$13</f>
        <v>6</v>
      </c>
      <c r="AE25" s="1">
        <f t="shared" si="2"/>
        <v>0</v>
      </c>
      <c r="AF25" s="1">
        <f t="shared" si="3"/>
        <v>4</v>
      </c>
      <c r="AG25" s="1">
        <f t="shared" si="4"/>
        <v>6</v>
      </c>
      <c r="AH25" s="1">
        <f t="shared" si="5"/>
        <v>10</v>
      </c>
      <c r="AI25" s="1">
        <v>14</v>
      </c>
      <c r="AJ25" s="1">
        <f>VLOOKUP(X25,[2]ölçme_sistemleri!I:M,5,FALSE)</f>
        <v>1</v>
      </c>
      <c r="AK25" s="1">
        <f t="shared" si="6"/>
        <v>140</v>
      </c>
      <c r="AL25" s="1">
        <f>AI25*4</f>
        <v>56</v>
      </c>
      <c r="AM25" s="1">
        <f>VLOOKUP(X25,[2]ölçme_sistemleri!I:N,6,FALSE)</f>
        <v>2</v>
      </c>
      <c r="AN25" s="1">
        <v>2</v>
      </c>
      <c r="AO25" s="1">
        <f t="shared" si="7"/>
        <v>4</v>
      </c>
      <c r="AP25" s="1">
        <v>14</v>
      </c>
      <c r="AQ25" s="1">
        <f t="shared" si="8"/>
        <v>28</v>
      </c>
      <c r="AR25" s="1">
        <f t="shared" si="9"/>
        <v>98</v>
      </c>
      <c r="AS25" s="1">
        <f t="shared" si="28"/>
        <v>25</v>
      </c>
      <c r="AT25" s="1">
        <f t="shared" si="11"/>
        <v>4</v>
      </c>
      <c r="AU25" s="1">
        <f t="shared" si="12"/>
        <v>0</v>
      </c>
      <c r="AV25" s="1">
        <f t="shared" si="13"/>
        <v>0</v>
      </c>
      <c r="AW25" s="1">
        <f t="shared" si="14"/>
        <v>0</v>
      </c>
      <c r="AX25" s="1">
        <f t="shared" si="15"/>
        <v>0</v>
      </c>
      <c r="AY25" s="1">
        <f t="shared" si="16"/>
        <v>-10</v>
      </c>
      <c r="AZ25" s="1">
        <f t="shared" si="17"/>
        <v>0</v>
      </c>
      <c r="BA25" s="1">
        <f t="shared" si="18"/>
        <v>-56</v>
      </c>
      <c r="BB25" s="1">
        <f t="shared" si="19"/>
        <v>0</v>
      </c>
      <c r="BC25" s="1">
        <f t="shared" si="20"/>
        <v>-4</v>
      </c>
      <c r="BD25" s="1">
        <f t="shared" si="21"/>
        <v>0</v>
      </c>
      <c r="BE25" s="1" t="s">
        <v>65</v>
      </c>
      <c r="BF25" s="1">
        <f t="shared" si="22"/>
        <v>28</v>
      </c>
      <c r="BG25" s="1">
        <f t="shared" si="23"/>
        <v>28</v>
      </c>
      <c r="BH25" s="1">
        <f t="shared" si="24"/>
        <v>1</v>
      </c>
      <c r="BI25" s="1" t="e">
        <f>IF(BH25-#REF!=0,"DOĞRU","YANLIŞ")</f>
        <v>#REF!</v>
      </c>
      <c r="BJ25" s="1" t="e">
        <f>#REF!-BH25</f>
        <v>#REF!</v>
      </c>
      <c r="BK25" s="1">
        <v>0</v>
      </c>
      <c r="BM25" s="1">
        <v>0</v>
      </c>
      <c r="BO25" s="1">
        <v>4</v>
      </c>
      <c r="BT25" s="8">
        <f t="shared" si="25"/>
        <v>0</v>
      </c>
      <c r="BU25" s="9"/>
      <c r="BV25" s="10"/>
      <c r="BW25" s="11"/>
      <c r="BX25" s="11"/>
      <c r="BY25" s="11"/>
      <c r="BZ25" s="11"/>
      <c r="CA25" s="11"/>
      <c r="CB25" s="12"/>
      <c r="CC25" s="13"/>
      <c r="CD25" s="14"/>
      <c r="CL25" s="11"/>
      <c r="CM25" s="11"/>
      <c r="CN25" s="11"/>
      <c r="CO25" s="11"/>
      <c r="CP25" s="11"/>
      <c r="CQ25" s="54"/>
      <c r="CR25" s="55"/>
      <c r="CS25" s="54"/>
      <c r="CT25" s="55"/>
      <c r="CU25" s="48"/>
      <c r="CV25" s="48"/>
      <c r="CW25" s="49"/>
      <c r="CX25" s="49"/>
    </row>
    <row r="26" spans="1:102" hidden="1" x14ac:dyDescent="0.25">
      <c r="A26" s="1" t="s">
        <v>127</v>
      </c>
      <c r="B26" s="1" t="s">
        <v>128</v>
      </c>
      <c r="C26" s="1" t="s">
        <v>128</v>
      </c>
      <c r="D26" s="2" t="s">
        <v>63</v>
      </c>
      <c r="E26" s="2" t="s">
        <v>63</v>
      </c>
      <c r="F26" s="3" t="e">
        <f>IF(BE26="S",
IF(#REF!+BM26=2018,
IF(#REF!=1,"18-19/1",
IF(#REF!=2,"18-19/2",
IF(#REF!=3,"19-20/1",
IF(#REF!=4,"19-20/2",
IF(#REF!=5,"20-21/1",
IF(#REF!=6,"20-21/2",
IF(#REF!=7,"21-22/1",
IF(#REF!=8,"21-22/2","Hata1")))))))),
IF(#REF!+BM26=2019,
IF(#REF!=1,"19-20/1",
IF(#REF!=2,"19-20/2",
IF(#REF!=3,"20-21/1",
IF(#REF!=4,"20-21/2",
IF(#REF!=5,"21-22/1",
IF(#REF!=6,"21-22/2",
IF(#REF!=7,"22-23/1",
IF(#REF!=8,"22-23/2","Hata2")))))))),
IF(#REF!+BM26=2020,
IF(#REF!=1,"20-21/1",
IF(#REF!=2,"20-21/2",
IF(#REF!=3,"21-22/1",
IF(#REF!=4,"21-22/2",
IF(#REF!=5,"22-23/1",
IF(#REF!=6,"22-23/2",
IF(#REF!=7,"23-24/1",
IF(#REF!=8,"23-24/2","Hata3")))))))),
IF(#REF!+BM26=2021,
IF(#REF!=1,"21-22/1",
IF(#REF!=2,"21-22/2",
IF(#REF!=3,"22-23/1",
IF(#REF!=4,"22-23/2",
IF(#REF!=5,"23-24/1",
IF(#REF!=6,"23-24/2",
IF(#REF!=7,"24-25/1",
IF(#REF!=8,"24-25/2","Hata4")))))))),
IF(#REF!+BM26=2022,
IF(#REF!=1,"22-23/1",
IF(#REF!=2,"22-23/2",
IF(#REF!=3,"23-24/1",
IF(#REF!=4,"23-24/2",
IF(#REF!=5,"24-25/1",
IF(#REF!=6,"24-25/2",
IF(#REF!=7,"25-26/1",
IF(#REF!=8,"25-26/2","Hata5")))))))),
IF(#REF!+BM26=2023,
IF(#REF!=1,"23-24/1",
IF(#REF!=2,"23-24/2",
IF(#REF!=3,"24-25/1",
IF(#REF!=4,"24-25/2",
IF(#REF!=5,"25-26/1",
IF(#REF!=6,"25-26/2",
IF(#REF!=7,"26-27/1",
IF(#REF!=8,"26-27/2","Hata6")))))))),
)))))),
IF(BE26="T",
IF(#REF!+BM26=2018,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" s="1" t="s">
        <v>73</v>
      </c>
      <c r="J26" s="1">
        <v>4234782</v>
      </c>
      <c r="L26" s="2">
        <v>3422</v>
      </c>
      <c r="N26" s="2">
        <v>3</v>
      </c>
      <c r="O26" s="6">
        <f t="shared" si="0"/>
        <v>2</v>
      </c>
      <c r="P26" s="2">
        <f t="shared" si="1"/>
        <v>2</v>
      </c>
      <c r="Q26" s="2">
        <v>0</v>
      </c>
      <c r="R26" s="2">
        <v>0</v>
      </c>
      <c r="S26" s="2">
        <v>2</v>
      </c>
      <c r="X26" s="3">
        <v>2</v>
      </c>
      <c r="Y26" s="1">
        <f>VLOOKUP(X26,[1]ölçme_sistemleri!I:L,2,FALSE)</f>
        <v>0</v>
      </c>
      <c r="Z26" s="1">
        <f>VLOOKUP(X26,[1]ölçme_sistemleri!I:L,3,FALSE)</f>
        <v>2</v>
      </c>
      <c r="AA26" s="1">
        <f>VLOOKUP(X26,[1]ölçme_sistemleri!I:L,4,FALSE)</f>
        <v>1</v>
      </c>
      <c r="AB26" s="1">
        <f>$O26*[1]ölçme_sistemleri!$J$13</f>
        <v>2</v>
      </c>
      <c r="AC26" s="1">
        <f>$O26*[1]ölçme_sistemleri!$K$13</f>
        <v>4</v>
      </c>
      <c r="AD26" s="1">
        <f>$O26*[1]ölçme_sistemleri!$L$13</f>
        <v>6</v>
      </c>
      <c r="AE26" s="1">
        <f t="shared" si="2"/>
        <v>0</v>
      </c>
      <c r="AF26" s="1">
        <f t="shared" si="3"/>
        <v>8</v>
      </c>
      <c r="AG26" s="1">
        <f t="shared" si="4"/>
        <v>6</v>
      </c>
      <c r="AH26" s="1">
        <f t="shared" si="5"/>
        <v>14</v>
      </c>
      <c r="AI26" s="1">
        <v>14</v>
      </c>
      <c r="AJ26" s="1">
        <f>VLOOKUP(X26,[1]ölçme_sistemleri!I:M,5,FALSE)</f>
        <v>2</v>
      </c>
      <c r="AK26" s="1">
        <f t="shared" si="6"/>
        <v>196</v>
      </c>
      <c r="AL26" s="1">
        <f t="shared" ref="AL26:AL39" si="29">(Q26+S26)*AI26</f>
        <v>28</v>
      </c>
      <c r="AM26" s="1">
        <f>VLOOKUP(X26,[1]ölçme_sistemleri!I:N,6,FALSE)</f>
        <v>3</v>
      </c>
      <c r="AN26" s="1">
        <v>2</v>
      </c>
      <c r="AO26" s="1">
        <f t="shared" si="7"/>
        <v>6</v>
      </c>
      <c r="AP26" s="1">
        <v>14</v>
      </c>
      <c r="AQ26" s="1">
        <f t="shared" si="8"/>
        <v>28</v>
      </c>
      <c r="AR26" s="1">
        <f t="shared" si="9"/>
        <v>76</v>
      </c>
      <c r="AS26" s="1">
        <f t="shared" si="28"/>
        <v>25</v>
      </c>
      <c r="AT26" s="1">
        <f t="shared" si="11"/>
        <v>3</v>
      </c>
      <c r="AU26" s="1">
        <f t="shared" si="12"/>
        <v>0</v>
      </c>
      <c r="AV26" s="1">
        <f t="shared" si="13"/>
        <v>0</v>
      </c>
      <c r="AW26" s="1">
        <f t="shared" si="14"/>
        <v>0</v>
      </c>
      <c r="AX26" s="1">
        <f t="shared" si="15"/>
        <v>0</v>
      </c>
      <c r="AY26" s="1">
        <f t="shared" si="16"/>
        <v>-14</v>
      </c>
      <c r="AZ26" s="1">
        <f t="shared" si="17"/>
        <v>0</v>
      </c>
      <c r="BA26" s="1">
        <f t="shared" si="18"/>
        <v>-28</v>
      </c>
      <c r="BB26" s="1">
        <f t="shared" si="19"/>
        <v>0</v>
      </c>
      <c r="BC26" s="1">
        <f t="shared" si="20"/>
        <v>-6</v>
      </c>
      <c r="BD26" s="1">
        <f t="shared" si="21"/>
        <v>0</v>
      </c>
      <c r="BE26" s="1" t="s">
        <v>65</v>
      </c>
      <c r="BF26" s="1">
        <f t="shared" si="22"/>
        <v>28</v>
      </c>
      <c r="BG26" s="1">
        <f t="shared" si="23"/>
        <v>28</v>
      </c>
      <c r="BH26" s="1">
        <f t="shared" si="24"/>
        <v>1</v>
      </c>
      <c r="BI26" s="1" t="e">
        <f>IF(BH26-#REF!=0,"DOĞRU","YANLIŞ")</f>
        <v>#REF!</v>
      </c>
      <c r="BJ26" s="1" t="e">
        <f>#REF!-BH26</f>
        <v>#REF!</v>
      </c>
      <c r="BK26" s="1">
        <v>0</v>
      </c>
      <c r="BM26" s="1">
        <v>0</v>
      </c>
      <c r="BO26" s="1">
        <v>2</v>
      </c>
      <c r="BT26" s="8">
        <f t="shared" si="25"/>
        <v>0</v>
      </c>
      <c r="BU26" s="9"/>
      <c r="BV26" s="10"/>
      <c r="BW26" s="11"/>
      <c r="BX26" s="11"/>
      <c r="BY26" s="11"/>
      <c r="BZ26" s="11"/>
      <c r="CA26" s="11"/>
      <c r="CB26" s="12"/>
      <c r="CC26" s="13"/>
      <c r="CD26" s="14"/>
      <c r="CL26" s="11"/>
      <c r="CM26" s="11"/>
      <c r="CN26" s="11"/>
      <c r="CO26" s="11"/>
      <c r="CP26" s="11"/>
      <c r="CQ26" s="46"/>
      <c r="CR26" s="46"/>
      <c r="CS26" s="48"/>
      <c r="CT26" s="48"/>
      <c r="CU26" s="48"/>
      <c r="CV26" s="48"/>
      <c r="CW26" s="49"/>
      <c r="CX26" s="49"/>
    </row>
    <row r="27" spans="1:102" hidden="1" x14ac:dyDescent="0.25">
      <c r="A27" s="1" t="s">
        <v>129</v>
      </c>
      <c r="B27" s="1" t="s">
        <v>130</v>
      </c>
      <c r="C27" s="1" t="s">
        <v>130</v>
      </c>
      <c r="D27" s="2" t="s">
        <v>63</v>
      </c>
      <c r="E27" s="2" t="s">
        <v>63</v>
      </c>
      <c r="F27" s="3" t="e">
        <f>IF(BE27="S",
IF(#REF!+BM27=2018,
IF(#REF!=1,"18-19/1",
IF(#REF!=2,"18-19/2",
IF(#REF!=3,"19-20/1",
IF(#REF!=4,"19-20/2",
IF(#REF!=5,"20-21/1",
IF(#REF!=6,"20-21/2",
IF(#REF!=7,"21-22/1",
IF(#REF!=8,"21-22/2","Hata1")))))))),
IF(#REF!+BM27=2019,
IF(#REF!=1,"19-20/1",
IF(#REF!=2,"19-20/2",
IF(#REF!=3,"20-21/1",
IF(#REF!=4,"20-21/2",
IF(#REF!=5,"21-22/1",
IF(#REF!=6,"21-22/2",
IF(#REF!=7,"22-23/1",
IF(#REF!=8,"22-23/2","Hata2")))))))),
IF(#REF!+BM27=2020,
IF(#REF!=1,"20-21/1",
IF(#REF!=2,"20-21/2",
IF(#REF!=3,"21-22/1",
IF(#REF!=4,"21-22/2",
IF(#REF!=5,"22-23/1",
IF(#REF!=6,"22-23/2",
IF(#REF!=7,"23-24/1",
IF(#REF!=8,"23-24/2","Hata3")))))))),
IF(#REF!+BM27=2021,
IF(#REF!=1,"21-22/1",
IF(#REF!=2,"21-22/2",
IF(#REF!=3,"22-23/1",
IF(#REF!=4,"22-23/2",
IF(#REF!=5,"23-24/1",
IF(#REF!=6,"23-24/2",
IF(#REF!=7,"24-25/1",
IF(#REF!=8,"24-25/2","Hata4")))))))),
IF(#REF!+BM27=2022,
IF(#REF!=1,"22-23/1",
IF(#REF!=2,"22-23/2",
IF(#REF!=3,"23-24/1",
IF(#REF!=4,"23-24/2",
IF(#REF!=5,"24-25/1",
IF(#REF!=6,"24-25/2",
IF(#REF!=7,"25-26/1",
IF(#REF!=8,"25-26/2","Hata5")))))))),
IF(#REF!+BM27=2023,
IF(#REF!=1,"23-24/1",
IF(#REF!=2,"23-24/2",
IF(#REF!=3,"24-25/1",
IF(#REF!=4,"24-25/2",
IF(#REF!=5,"25-26/1",
IF(#REF!=6,"25-26/2",
IF(#REF!=7,"26-27/1",
IF(#REF!=8,"26-27/2","Hata6")))))))),
)))))),
IF(BE27="T",
IF(#REF!+BM27=2018,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" s="1" t="s">
        <v>73</v>
      </c>
      <c r="J27" s="1">
        <v>4234782</v>
      </c>
      <c r="L27" s="2">
        <v>3397</v>
      </c>
      <c r="N27" s="2">
        <v>4</v>
      </c>
      <c r="O27" s="6">
        <f t="shared" si="0"/>
        <v>3</v>
      </c>
      <c r="P27" s="2">
        <f t="shared" si="1"/>
        <v>3</v>
      </c>
      <c r="Q27" s="2">
        <v>0</v>
      </c>
      <c r="R27" s="2">
        <v>0</v>
      </c>
      <c r="S27" s="2">
        <v>3</v>
      </c>
      <c r="X27" s="3">
        <v>2</v>
      </c>
      <c r="Y27" s="1">
        <f>VLOOKUP(X27,[1]ölçme_sistemleri!I:L,2,FALSE)</f>
        <v>0</v>
      </c>
      <c r="Z27" s="1">
        <f>VLOOKUP(X27,[1]ölçme_sistemleri!I:L,3,FALSE)</f>
        <v>2</v>
      </c>
      <c r="AA27" s="1">
        <f>VLOOKUP(X27,[1]ölçme_sistemleri!I:L,4,FALSE)</f>
        <v>1</v>
      </c>
      <c r="AB27" s="1">
        <f>$O27*[1]ölçme_sistemleri!$J$13</f>
        <v>3</v>
      </c>
      <c r="AC27" s="1">
        <f>$O27*[1]ölçme_sistemleri!$K$13</f>
        <v>6</v>
      </c>
      <c r="AD27" s="1">
        <f>$O27*[1]ölçme_sistemleri!$L$13</f>
        <v>9</v>
      </c>
      <c r="AE27" s="1">
        <f t="shared" si="2"/>
        <v>0</v>
      </c>
      <c r="AF27" s="1">
        <f t="shared" si="3"/>
        <v>12</v>
      </c>
      <c r="AG27" s="1">
        <f t="shared" si="4"/>
        <v>9</v>
      </c>
      <c r="AH27" s="1">
        <f t="shared" si="5"/>
        <v>21</v>
      </c>
      <c r="AI27" s="1">
        <v>14</v>
      </c>
      <c r="AJ27" s="1">
        <f>VLOOKUP(X27,[1]ölçme_sistemleri!I:M,5,FALSE)</f>
        <v>2</v>
      </c>
      <c r="AK27" s="1">
        <f t="shared" si="6"/>
        <v>294</v>
      </c>
      <c r="AL27" s="1">
        <f t="shared" si="29"/>
        <v>42</v>
      </c>
      <c r="AM27" s="1">
        <f>VLOOKUP(X27,[1]ölçme_sistemleri!I:N,6,FALSE)</f>
        <v>3</v>
      </c>
      <c r="AN27" s="1">
        <v>2</v>
      </c>
      <c r="AO27" s="1">
        <f t="shared" si="7"/>
        <v>6</v>
      </c>
      <c r="AP27" s="1">
        <v>14</v>
      </c>
      <c r="AQ27" s="1">
        <f t="shared" si="8"/>
        <v>42</v>
      </c>
      <c r="AR27" s="1">
        <f t="shared" si="9"/>
        <v>111</v>
      </c>
      <c r="AS27" s="1">
        <f t="shared" si="28"/>
        <v>25</v>
      </c>
      <c r="AT27" s="1">
        <f t="shared" si="11"/>
        <v>4</v>
      </c>
      <c r="AU27" s="1">
        <f t="shared" si="12"/>
        <v>0</v>
      </c>
      <c r="AV27" s="1">
        <f t="shared" si="13"/>
        <v>0</v>
      </c>
      <c r="AW27" s="1">
        <f t="shared" si="14"/>
        <v>0</v>
      </c>
      <c r="AX27" s="1">
        <f t="shared" si="15"/>
        <v>0</v>
      </c>
      <c r="AY27" s="1">
        <f t="shared" si="16"/>
        <v>-21</v>
      </c>
      <c r="AZ27" s="1">
        <f t="shared" si="17"/>
        <v>0</v>
      </c>
      <c r="BA27" s="1">
        <f t="shared" si="18"/>
        <v>-42</v>
      </c>
      <c r="BB27" s="1">
        <f t="shared" si="19"/>
        <v>0</v>
      </c>
      <c r="BC27" s="1">
        <f t="shared" si="20"/>
        <v>-6</v>
      </c>
      <c r="BD27" s="1">
        <f t="shared" si="21"/>
        <v>0</v>
      </c>
      <c r="BE27" s="1" t="s">
        <v>65</v>
      </c>
      <c r="BF27" s="1">
        <f t="shared" si="22"/>
        <v>42</v>
      </c>
      <c r="BG27" s="1">
        <f t="shared" si="23"/>
        <v>42</v>
      </c>
      <c r="BH27" s="1">
        <f t="shared" si="24"/>
        <v>1</v>
      </c>
      <c r="BI27" s="1" t="e">
        <f>IF(BH27-#REF!=0,"DOĞRU","YANLIŞ")</f>
        <v>#REF!</v>
      </c>
      <c r="BJ27" s="1" t="e">
        <f>#REF!-BH27</f>
        <v>#REF!</v>
      </c>
      <c r="BK27" s="1">
        <v>0</v>
      </c>
      <c r="BM27" s="1">
        <v>0</v>
      </c>
      <c r="BO27" s="1">
        <v>2</v>
      </c>
      <c r="BT27" s="8">
        <f t="shared" si="25"/>
        <v>0</v>
      </c>
      <c r="BU27" s="9"/>
      <c r="BV27" s="10"/>
      <c r="BW27" s="11"/>
      <c r="BX27" s="11"/>
      <c r="BY27" s="11"/>
      <c r="BZ27" s="11"/>
      <c r="CA27" s="11"/>
      <c r="CB27" s="12"/>
      <c r="CC27" s="13"/>
      <c r="CD27" s="14"/>
      <c r="CL27" s="11"/>
      <c r="CM27" s="11"/>
      <c r="CN27" s="11"/>
      <c r="CO27" s="11"/>
      <c r="CP27" s="11"/>
      <c r="CQ27" s="49"/>
      <c r="CR27" s="46"/>
      <c r="CS27" s="49"/>
      <c r="CT27" s="48"/>
      <c r="CU27" s="48"/>
      <c r="CV27" s="48"/>
      <c r="CW27" s="49"/>
      <c r="CX27" s="49"/>
    </row>
    <row r="28" spans="1:102" hidden="1" x14ac:dyDescent="0.25">
      <c r="A28" s="1" t="s">
        <v>97</v>
      </c>
      <c r="B28" s="1" t="s">
        <v>98</v>
      </c>
      <c r="C28" s="1" t="s">
        <v>98</v>
      </c>
      <c r="D28" s="2" t="s">
        <v>63</v>
      </c>
      <c r="E28" s="2" t="s">
        <v>63</v>
      </c>
      <c r="F28" s="3" t="e">
        <f>IF(BE28="S",
IF(#REF!+BM28=2018,
IF(#REF!=1,"18-19/1",
IF(#REF!=2,"18-19/2",
IF(#REF!=3,"19-20/1",
IF(#REF!=4,"19-20/2",
IF(#REF!=5,"20-21/1",
IF(#REF!=6,"20-21/2",
IF(#REF!=7,"21-22/1",
IF(#REF!=8,"21-22/2","Hata1")))))))),
IF(#REF!+BM28=2019,
IF(#REF!=1,"19-20/1",
IF(#REF!=2,"19-20/2",
IF(#REF!=3,"20-21/1",
IF(#REF!=4,"20-21/2",
IF(#REF!=5,"21-22/1",
IF(#REF!=6,"21-22/2",
IF(#REF!=7,"22-23/1",
IF(#REF!=8,"22-23/2","Hata2")))))))),
IF(#REF!+BM28=2020,
IF(#REF!=1,"20-21/1",
IF(#REF!=2,"20-21/2",
IF(#REF!=3,"21-22/1",
IF(#REF!=4,"21-22/2",
IF(#REF!=5,"22-23/1",
IF(#REF!=6,"22-23/2",
IF(#REF!=7,"23-24/1",
IF(#REF!=8,"23-24/2","Hata3")))))))),
IF(#REF!+BM28=2021,
IF(#REF!=1,"21-22/1",
IF(#REF!=2,"21-22/2",
IF(#REF!=3,"22-23/1",
IF(#REF!=4,"22-23/2",
IF(#REF!=5,"23-24/1",
IF(#REF!=6,"23-24/2",
IF(#REF!=7,"24-25/1",
IF(#REF!=8,"24-25/2","Hata4")))))))),
IF(#REF!+BM28=2022,
IF(#REF!=1,"22-23/1",
IF(#REF!=2,"22-23/2",
IF(#REF!=3,"23-24/1",
IF(#REF!=4,"23-24/2",
IF(#REF!=5,"24-25/1",
IF(#REF!=6,"24-25/2",
IF(#REF!=7,"25-26/1",
IF(#REF!=8,"25-26/2","Hata5")))))))),
IF(#REF!+BM28=2023,
IF(#REF!=1,"23-24/1",
IF(#REF!=2,"23-24/2",
IF(#REF!=3,"24-25/1",
IF(#REF!=4,"24-25/2",
IF(#REF!=5,"25-26/1",
IF(#REF!=6,"25-26/2",
IF(#REF!=7,"26-27/1",
IF(#REF!=8,"26-27/2","Hata6")))))))),
)))))),
IF(BE28="T",
IF(#REF!+BM28=2018,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" s="1" t="s">
        <v>59</v>
      </c>
      <c r="J28" s="1">
        <v>4234786</v>
      </c>
      <c r="L28" s="2">
        <v>196</v>
      </c>
      <c r="N28" s="2">
        <v>4</v>
      </c>
      <c r="O28" s="6">
        <f t="shared" si="0"/>
        <v>3</v>
      </c>
      <c r="P28" s="2">
        <f t="shared" si="1"/>
        <v>3</v>
      </c>
      <c r="Q28" s="2">
        <v>3</v>
      </c>
      <c r="R28" s="2">
        <v>0</v>
      </c>
      <c r="S28" s="2">
        <v>0</v>
      </c>
      <c r="X28" s="3">
        <v>2</v>
      </c>
      <c r="Y28" s="1">
        <f>VLOOKUP(X28,[7]ölçme_sistemleri!I:L,2,FALSE)</f>
        <v>0</v>
      </c>
      <c r="Z28" s="1">
        <f>VLOOKUP(X28,[7]ölçme_sistemleri!I:L,3,FALSE)</f>
        <v>2</v>
      </c>
      <c r="AA28" s="1">
        <f>VLOOKUP(X28,[7]ölçme_sistemleri!I:L,4,FALSE)</f>
        <v>1</v>
      </c>
      <c r="AB28" s="1">
        <f>$O28*[7]ölçme_sistemleri!$J$13</f>
        <v>3</v>
      </c>
      <c r="AC28" s="1">
        <f>$O28*[7]ölçme_sistemleri!$K$13</f>
        <v>6</v>
      </c>
      <c r="AD28" s="1">
        <f>$O28*[7]ölçme_sistemleri!$L$13</f>
        <v>9</v>
      </c>
      <c r="AE28" s="1">
        <f t="shared" si="2"/>
        <v>0</v>
      </c>
      <c r="AF28" s="1">
        <f t="shared" si="3"/>
        <v>12</v>
      </c>
      <c r="AG28" s="1">
        <f t="shared" si="4"/>
        <v>9</v>
      </c>
      <c r="AH28" s="1">
        <f t="shared" si="5"/>
        <v>21</v>
      </c>
      <c r="AI28" s="1">
        <v>14</v>
      </c>
      <c r="AJ28" s="1">
        <f>VLOOKUP(X28,[7]ölçme_sistemleri!I:M,5,FALSE)</f>
        <v>2</v>
      </c>
      <c r="AK28" s="1">
        <f t="shared" si="6"/>
        <v>294</v>
      </c>
      <c r="AL28" s="1">
        <f t="shared" si="29"/>
        <v>42</v>
      </c>
      <c r="AM28" s="1">
        <f>VLOOKUP(X28,[7]ölçme_sistemleri!I:N,6,FALSE)</f>
        <v>3</v>
      </c>
      <c r="AN28" s="1">
        <v>2</v>
      </c>
      <c r="AO28" s="1">
        <f t="shared" si="7"/>
        <v>6</v>
      </c>
      <c r="AP28" s="1">
        <v>14</v>
      </c>
      <c r="AQ28" s="1">
        <f t="shared" si="8"/>
        <v>42</v>
      </c>
      <c r="AR28" s="1">
        <f t="shared" si="9"/>
        <v>111</v>
      </c>
      <c r="AS28" s="1">
        <f t="shared" ref="AS28:AS40" si="30">IF(BE28="s",25,25)</f>
        <v>25</v>
      </c>
      <c r="AT28" s="1">
        <f t="shared" si="11"/>
        <v>4</v>
      </c>
      <c r="AU28" s="1">
        <f t="shared" si="12"/>
        <v>0</v>
      </c>
      <c r="AV28" s="1">
        <f t="shared" si="13"/>
        <v>0</v>
      </c>
      <c r="AW28" s="1">
        <f t="shared" si="14"/>
        <v>0</v>
      </c>
      <c r="AX28" s="1">
        <f t="shared" si="15"/>
        <v>0</v>
      </c>
      <c r="AY28" s="1">
        <f t="shared" si="16"/>
        <v>-21</v>
      </c>
      <c r="AZ28" s="1">
        <f t="shared" si="17"/>
        <v>0</v>
      </c>
      <c r="BA28" s="1">
        <f t="shared" si="18"/>
        <v>-42</v>
      </c>
      <c r="BB28" s="1">
        <f t="shared" si="19"/>
        <v>0</v>
      </c>
      <c r="BC28" s="1">
        <f t="shared" si="20"/>
        <v>-6</v>
      </c>
      <c r="BD28" s="1">
        <f t="shared" si="21"/>
        <v>0</v>
      </c>
      <c r="BE28" s="1" t="s">
        <v>65</v>
      </c>
      <c r="BF28" s="1">
        <f t="shared" si="22"/>
        <v>42</v>
      </c>
      <c r="BG28" s="1">
        <f t="shared" si="23"/>
        <v>42</v>
      </c>
      <c r="BH28" s="1">
        <f t="shared" si="24"/>
        <v>1</v>
      </c>
      <c r="BI28" s="1" t="e">
        <f>IF(BH28-#REF!=0,"DOĞRU","YANLIŞ")</f>
        <v>#REF!</v>
      </c>
      <c r="BJ28" s="1" t="e">
        <f>#REF!-BH28</f>
        <v>#REF!</v>
      </c>
      <c r="BK28" s="1">
        <v>0</v>
      </c>
      <c r="BM28" s="1">
        <v>0</v>
      </c>
      <c r="BO28" s="1">
        <v>2</v>
      </c>
      <c r="BT28" s="8">
        <f t="shared" si="25"/>
        <v>0</v>
      </c>
      <c r="BU28" s="9"/>
      <c r="BV28" s="10"/>
      <c r="BW28" s="11"/>
      <c r="BX28" s="11"/>
      <c r="BY28" s="11"/>
      <c r="BZ28" s="11"/>
      <c r="CA28" s="11"/>
      <c r="CB28" s="12"/>
      <c r="CC28" s="13"/>
      <c r="CD28" s="14"/>
      <c r="CL28" s="11"/>
      <c r="CM28" s="11"/>
      <c r="CN28" s="11"/>
      <c r="CO28" s="11"/>
      <c r="CP28" s="11"/>
      <c r="CQ28" s="54"/>
      <c r="CR28" s="55"/>
      <c r="CS28" s="54"/>
      <c r="CT28" s="55"/>
      <c r="CU28" s="54"/>
      <c r="CV28" s="55"/>
      <c r="CW28" s="49"/>
      <c r="CX28" s="49"/>
    </row>
    <row r="29" spans="1:102" hidden="1" x14ac:dyDescent="0.25">
      <c r="A29" s="1" t="s">
        <v>357</v>
      </c>
      <c r="B29" s="1" t="s">
        <v>358</v>
      </c>
      <c r="C29" s="1" t="s">
        <v>358</v>
      </c>
      <c r="D29" s="2" t="s">
        <v>63</v>
      </c>
      <c r="E29" s="2" t="s">
        <v>63</v>
      </c>
      <c r="F29" s="3" t="e">
        <f>IF(BE29="S",
IF(#REF!+BM29=2018,
IF(#REF!=1,"18-19/1",
IF(#REF!=2,"18-19/2",
IF(#REF!=3,"19-20/1",
IF(#REF!=4,"19-20/2",
IF(#REF!=5,"20-21/1",
IF(#REF!=6,"20-21/2",
IF(#REF!=7,"21-22/1",
IF(#REF!=8,"21-22/2","Hata1")))))))),
IF(#REF!+BM29=2019,
IF(#REF!=1,"19-20/1",
IF(#REF!=2,"19-20/2",
IF(#REF!=3,"20-21/1",
IF(#REF!=4,"20-21/2",
IF(#REF!=5,"21-22/1",
IF(#REF!=6,"21-22/2",
IF(#REF!=7,"22-23/1",
IF(#REF!=8,"22-23/2","Hata2")))))))),
IF(#REF!+BM29=2020,
IF(#REF!=1,"20-21/1",
IF(#REF!=2,"20-21/2",
IF(#REF!=3,"21-22/1",
IF(#REF!=4,"21-22/2",
IF(#REF!=5,"22-23/1",
IF(#REF!=6,"22-23/2",
IF(#REF!=7,"23-24/1",
IF(#REF!=8,"23-24/2","Hata3")))))))),
IF(#REF!+BM29=2021,
IF(#REF!=1,"21-22/1",
IF(#REF!=2,"21-22/2",
IF(#REF!=3,"22-23/1",
IF(#REF!=4,"22-23/2",
IF(#REF!=5,"23-24/1",
IF(#REF!=6,"23-24/2",
IF(#REF!=7,"24-25/1",
IF(#REF!=8,"24-25/2","Hata4")))))))),
IF(#REF!+BM29=2022,
IF(#REF!=1,"22-23/1",
IF(#REF!=2,"22-23/2",
IF(#REF!=3,"23-24/1",
IF(#REF!=4,"23-24/2",
IF(#REF!=5,"24-25/1",
IF(#REF!=6,"24-25/2",
IF(#REF!=7,"25-26/1",
IF(#REF!=8,"25-26/2","Hata5")))))))),
IF(#REF!+BM29=2023,
IF(#REF!=1,"23-24/1",
IF(#REF!=2,"23-24/2",
IF(#REF!=3,"24-25/1",
IF(#REF!=4,"24-25/2",
IF(#REF!=5,"25-26/1",
IF(#REF!=6,"25-26/2",
IF(#REF!=7,"26-27/1",
IF(#REF!=8,"26-27/2","Hata6")))))))),
)))))),
IF(BE29="T",
IF(#REF!+BM29=2018,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" s="1" t="s">
        <v>59</v>
      </c>
      <c r="J29" s="1">
        <v>4234786</v>
      </c>
      <c r="L29" s="2">
        <v>4366</v>
      </c>
      <c r="N29" s="2">
        <v>1</v>
      </c>
      <c r="O29" s="6">
        <f t="shared" si="0"/>
        <v>1</v>
      </c>
      <c r="P29" s="2">
        <f t="shared" si="1"/>
        <v>1</v>
      </c>
      <c r="Q29" s="2">
        <v>1</v>
      </c>
      <c r="R29" s="2">
        <v>0</v>
      </c>
      <c r="S29" s="2">
        <v>0</v>
      </c>
      <c r="X29" s="3">
        <v>0</v>
      </c>
      <c r="Y29" s="1">
        <f>VLOOKUP(X29,[4]ölçme_sistemleri!I:L,2,FALSE)</f>
        <v>0</v>
      </c>
      <c r="Z29" s="1">
        <f>VLOOKUP(X29,[4]ölçme_sistemleri!I:L,3,FALSE)</f>
        <v>0</v>
      </c>
      <c r="AA29" s="1">
        <f>VLOOKUP(X29,[4]ölçme_sistemleri!I:L,4,FALSE)</f>
        <v>0</v>
      </c>
      <c r="AB29" s="1">
        <f>$O29*[4]ölçme_sistemleri!J$13</f>
        <v>1</v>
      </c>
      <c r="AC29" s="1">
        <f>$O29*[4]ölçme_sistemleri!K$13</f>
        <v>2</v>
      </c>
      <c r="AD29" s="1">
        <f>$O29*[4]ölçme_sistemleri!L$13</f>
        <v>3</v>
      </c>
      <c r="AE29" s="1">
        <f t="shared" si="2"/>
        <v>0</v>
      </c>
      <c r="AF29" s="1">
        <f t="shared" si="3"/>
        <v>0</v>
      </c>
      <c r="AG29" s="1">
        <f t="shared" si="4"/>
        <v>0</v>
      </c>
      <c r="AH29" s="1">
        <f t="shared" si="5"/>
        <v>0</v>
      </c>
      <c r="AI29" s="1">
        <v>14</v>
      </c>
      <c r="AJ29" s="1">
        <f>VLOOKUP(X29,[4]ölçme_sistemleri!I:M,5,FALSE)</f>
        <v>0</v>
      </c>
      <c r="AK29" s="1">
        <f t="shared" si="6"/>
        <v>0</v>
      </c>
      <c r="AL29" s="1">
        <f t="shared" si="29"/>
        <v>14</v>
      </c>
      <c r="AM29" s="1">
        <f>VLOOKUP(X29,[4]ölçme_sistemleri!I:N,6,FALSE)</f>
        <v>0</v>
      </c>
      <c r="AN29" s="1">
        <v>2</v>
      </c>
      <c r="AO29" s="1">
        <f t="shared" si="7"/>
        <v>0</v>
      </c>
      <c r="AP29" s="1">
        <v>14</v>
      </c>
      <c r="AQ29" s="1">
        <f t="shared" si="8"/>
        <v>14</v>
      </c>
      <c r="AR29" s="1">
        <f t="shared" si="9"/>
        <v>28</v>
      </c>
      <c r="AS29" s="1">
        <f t="shared" si="30"/>
        <v>25</v>
      </c>
      <c r="AT29" s="1">
        <f t="shared" si="11"/>
        <v>1</v>
      </c>
      <c r="AU29" s="1">
        <f t="shared" si="12"/>
        <v>0</v>
      </c>
      <c r="AV29" s="1">
        <f t="shared" si="13"/>
        <v>0</v>
      </c>
      <c r="AW29" s="1">
        <f t="shared" si="14"/>
        <v>0</v>
      </c>
      <c r="AX29" s="1">
        <f t="shared" si="15"/>
        <v>0</v>
      </c>
      <c r="AY29" s="1">
        <f t="shared" si="16"/>
        <v>-3</v>
      </c>
      <c r="AZ29" s="1">
        <f t="shared" si="17"/>
        <v>0</v>
      </c>
      <c r="BA29" s="1">
        <f t="shared" si="18"/>
        <v>-14</v>
      </c>
      <c r="BB29" s="1">
        <f t="shared" si="19"/>
        <v>0</v>
      </c>
      <c r="BC29" s="1">
        <f t="shared" si="20"/>
        <v>0</v>
      </c>
      <c r="BD29" s="1">
        <f t="shared" si="21"/>
        <v>0</v>
      </c>
      <c r="BE29" s="1" t="s">
        <v>65</v>
      </c>
      <c r="BF29" s="1">
        <f t="shared" si="22"/>
        <v>14</v>
      </c>
      <c r="BG29" s="1">
        <f t="shared" si="23"/>
        <v>14</v>
      </c>
      <c r="BH29" s="1">
        <f t="shared" si="24"/>
        <v>0</v>
      </c>
      <c r="BI29" s="1" t="e">
        <f>IF(BH29-#REF!=0,"DOĞRU","YANLIŞ")</f>
        <v>#REF!</v>
      </c>
      <c r="BJ29" s="1" t="e">
        <f>#REF!-BH29</f>
        <v>#REF!</v>
      </c>
      <c r="BK29" s="1">
        <v>0</v>
      </c>
      <c r="BM29" s="1">
        <v>0</v>
      </c>
      <c r="BO29" s="1">
        <v>0</v>
      </c>
      <c r="BT29" s="8">
        <f t="shared" si="25"/>
        <v>0</v>
      </c>
      <c r="BU29" s="9"/>
      <c r="BV29" s="10"/>
      <c r="BW29" s="11"/>
      <c r="BX29" s="11"/>
      <c r="BY29" s="11"/>
      <c r="BZ29" s="11"/>
      <c r="CA29" s="11"/>
      <c r="CB29" s="12"/>
      <c r="CC29" s="13"/>
      <c r="CD29" s="14"/>
      <c r="CL29" s="11"/>
      <c r="CM29" s="11"/>
      <c r="CN29" s="11"/>
      <c r="CO29" s="11"/>
      <c r="CP29" s="11"/>
      <c r="CQ29" s="54"/>
      <c r="CR29" s="55"/>
      <c r="CS29" s="49"/>
      <c r="CT29" s="46"/>
      <c r="CU29" s="48"/>
      <c r="CV29" s="48"/>
      <c r="CW29" s="49"/>
      <c r="CX29" s="49"/>
    </row>
    <row r="30" spans="1:102" hidden="1" x14ac:dyDescent="0.25">
      <c r="A30" s="1" t="s">
        <v>357</v>
      </c>
      <c r="B30" s="1" t="s">
        <v>358</v>
      </c>
      <c r="C30" s="1" t="s">
        <v>358</v>
      </c>
      <c r="D30" s="2" t="s">
        <v>63</v>
      </c>
      <c r="E30" s="2" t="s">
        <v>63</v>
      </c>
      <c r="F30" s="3" t="e">
        <f>IF(BE30="S",
IF(#REF!+BM30=2018,
IF(#REF!=1,"18-19/1",
IF(#REF!=2,"18-19/2",
IF(#REF!=3,"19-20/1",
IF(#REF!=4,"19-20/2",
IF(#REF!=5,"20-21/1",
IF(#REF!=6,"20-21/2",
IF(#REF!=7,"21-22/1",
IF(#REF!=8,"21-22/2","Hata1")))))))),
IF(#REF!+BM30=2019,
IF(#REF!=1,"19-20/1",
IF(#REF!=2,"19-20/2",
IF(#REF!=3,"20-21/1",
IF(#REF!=4,"20-21/2",
IF(#REF!=5,"21-22/1",
IF(#REF!=6,"21-22/2",
IF(#REF!=7,"22-23/1",
IF(#REF!=8,"22-23/2","Hata2")))))))),
IF(#REF!+BM30=2020,
IF(#REF!=1,"20-21/1",
IF(#REF!=2,"20-21/2",
IF(#REF!=3,"21-22/1",
IF(#REF!=4,"21-22/2",
IF(#REF!=5,"22-23/1",
IF(#REF!=6,"22-23/2",
IF(#REF!=7,"23-24/1",
IF(#REF!=8,"23-24/2","Hata3")))))))),
IF(#REF!+BM30=2021,
IF(#REF!=1,"21-22/1",
IF(#REF!=2,"21-22/2",
IF(#REF!=3,"22-23/1",
IF(#REF!=4,"22-23/2",
IF(#REF!=5,"23-24/1",
IF(#REF!=6,"23-24/2",
IF(#REF!=7,"24-25/1",
IF(#REF!=8,"24-25/2","Hata4")))))))),
IF(#REF!+BM30=2022,
IF(#REF!=1,"22-23/1",
IF(#REF!=2,"22-23/2",
IF(#REF!=3,"23-24/1",
IF(#REF!=4,"23-24/2",
IF(#REF!=5,"24-25/1",
IF(#REF!=6,"24-25/2",
IF(#REF!=7,"25-26/1",
IF(#REF!=8,"25-26/2","Hata5")))))))),
IF(#REF!+BM30=2023,
IF(#REF!=1,"23-24/1",
IF(#REF!=2,"23-24/2",
IF(#REF!=3,"24-25/1",
IF(#REF!=4,"24-25/2",
IF(#REF!=5,"25-26/1",
IF(#REF!=6,"25-26/2",
IF(#REF!=7,"26-27/1",
IF(#REF!=8,"26-27/2","Hata6")))))))),
)))))),
IF(BE30="T",
IF(#REF!+BM30=2018,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" s="1" t="s">
        <v>59</v>
      </c>
      <c r="J30" s="1">
        <v>4234786</v>
      </c>
      <c r="L30" s="2">
        <v>4366</v>
      </c>
      <c r="N30" s="2">
        <v>1</v>
      </c>
      <c r="O30" s="6">
        <f t="shared" si="0"/>
        <v>1</v>
      </c>
      <c r="P30" s="2">
        <f t="shared" si="1"/>
        <v>1</v>
      </c>
      <c r="Q30" s="2">
        <v>1</v>
      </c>
      <c r="R30" s="2">
        <v>0</v>
      </c>
      <c r="S30" s="2">
        <v>0</v>
      </c>
      <c r="X30" s="33">
        <v>0</v>
      </c>
      <c r="Y30" s="1">
        <f>VLOOKUP(X30,[4]ölçme_sistemleri!I:L,2,FALSE)</f>
        <v>0</v>
      </c>
      <c r="Z30" s="1">
        <f>VLOOKUP(X30,[4]ölçme_sistemleri!I:L,3,FALSE)</f>
        <v>0</v>
      </c>
      <c r="AA30" s="1">
        <f>VLOOKUP(X30,[4]ölçme_sistemleri!I:L,4,FALSE)</f>
        <v>0</v>
      </c>
      <c r="AB30" s="1">
        <f>$O30*[4]ölçme_sistemleri!J$13</f>
        <v>1</v>
      </c>
      <c r="AC30" s="1">
        <f>$O30*[4]ölçme_sistemleri!K$13</f>
        <v>2</v>
      </c>
      <c r="AD30" s="1">
        <f>$O30*[4]ölçme_sistemleri!L$13</f>
        <v>3</v>
      </c>
      <c r="AE30" s="1">
        <f t="shared" si="2"/>
        <v>0</v>
      </c>
      <c r="AF30" s="1">
        <f t="shared" si="3"/>
        <v>0</v>
      </c>
      <c r="AG30" s="1">
        <f t="shared" si="4"/>
        <v>0</v>
      </c>
      <c r="AH30" s="1">
        <f t="shared" si="5"/>
        <v>0</v>
      </c>
      <c r="AI30" s="1">
        <v>14</v>
      </c>
      <c r="AJ30" s="1">
        <f>VLOOKUP(X30,[4]ölçme_sistemleri!I:M,5,FALSE)</f>
        <v>0</v>
      </c>
      <c r="AK30" s="1">
        <f t="shared" si="6"/>
        <v>0</v>
      </c>
      <c r="AL30" s="1">
        <f t="shared" si="29"/>
        <v>14</v>
      </c>
      <c r="AM30" s="1">
        <f>VLOOKUP(X30,[4]ölçme_sistemleri!I:N,6,FALSE)</f>
        <v>0</v>
      </c>
      <c r="AN30" s="1">
        <v>2</v>
      </c>
      <c r="AO30" s="1">
        <f t="shared" si="7"/>
        <v>0</v>
      </c>
      <c r="AP30" s="1">
        <v>14</v>
      </c>
      <c r="AQ30" s="1">
        <f t="shared" si="8"/>
        <v>14</v>
      </c>
      <c r="AR30" s="1">
        <f t="shared" si="9"/>
        <v>28</v>
      </c>
      <c r="AS30" s="1">
        <f t="shared" si="30"/>
        <v>25</v>
      </c>
      <c r="AT30" s="1">
        <f t="shared" si="11"/>
        <v>1</v>
      </c>
      <c r="AU30" s="1">
        <f t="shared" si="12"/>
        <v>0</v>
      </c>
      <c r="AV30" s="1">
        <f t="shared" si="13"/>
        <v>0</v>
      </c>
      <c r="AW30" s="1">
        <f t="shared" si="14"/>
        <v>0</v>
      </c>
      <c r="AX30" s="1">
        <f t="shared" si="15"/>
        <v>0</v>
      </c>
      <c r="AY30" s="1">
        <f t="shared" si="16"/>
        <v>-3</v>
      </c>
      <c r="AZ30" s="1">
        <f t="shared" si="17"/>
        <v>0</v>
      </c>
      <c r="BA30" s="1">
        <f t="shared" si="18"/>
        <v>-14</v>
      </c>
      <c r="BB30" s="1">
        <f t="shared" si="19"/>
        <v>0</v>
      </c>
      <c r="BC30" s="1">
        <f t="shared" si="20"/>
        <v>0</v>
      </c>
      <c r="BD30" s="1">
        <f t="shared" si="21"/>
        <v>0</v>
      </c>
      <c r="BE30" s="1" t="s">
        <v>65</v>
      </c>
      <c r="BF30" s="1">
        <f t="shared" si="22"/>
        <v>14</v>
      </c>
      <c r="BG30" s="1">
        <f t="shared" si="23"/>
        <v>14</v>
      </c>
      <c r="BH30" s="1">
        <f t="shared" si="24"/>
        <v>0</v>
      </c>
      <c r="BI30" s="1" t="e">
        <f>IF(BH30-#REF!=0,"DOĞRU","YANLIŞ")</f>
        <v>#REF!</v>
      </c>
      <c r="BJ30" s="1" t="e">
        <f>#REF!-BH30</f>
        <v>#REF!</v>
      </c>
      <c r="BK30" s="1">
        <v>0</v>
      </c>
      <c r="BM30" s="1">
        <v>0</v>
      </c>
      <c r="BO30" s="1">
        <v>0</v>
      </c>
      <c r="BT30" s="8">
        <f t="shared" si="25"/>
        <v>0</v>
      </c>
      <c r="BU30" s="9"/>
      <c r="BV30" s="10"/>
      <c r="BW30" s="11"/>
      <c r="BX30" s="11"/>
      <c r="BY30" s="11"/>
      <c r="BZ30" s="11"/>
      <c r="CA30" s="11"/>
      <c r="CB30" s="12"/>
      <c r="CC30" s="13"/>
      <c r="CD30" s="14"/>
      <c r="CL30" s="11"/>
      <c r="CM30" s="11"/>
      <c r="CN30" s="11"/>
      <c r="CO30" s="11"/>
      <c r="CP30" s="11"/>
      <c r="CQ30" s="49"/>
      <c r="CR30" s="46"/>
      <c r="CS30" s="48"/>
      <c r="CT30" s="48"/>
      <c r="CU30" s="48"/>
      <c r="CV30" s="48"/>
      <c r="CW30" s="49"/>
      <c r="CX30" s="49"/>
    </row>
    <row r="31" spans="1:102" hidden="1" x14ac:dyDescent="0.25">
      <c r="A31" s="1" t="s">
        <v>357</v>
      </c>
      <c r="B31" s="1" t="s">
        <v>358</v>
      </c>
      <c r="C31" s="1" t="s">
        <v>358</v>
      </c>
      <c r="D31" s="2" t="s">
        <v>63</v>
      </c>
      <c r="E31" s="2" t="s">
        <v>63</v>
      </c>
      <c r="F31" s="3" t="e">
        <f>IF(BE31="S",
IF(#REF!+BM31=2018,
IF(#REF!=1,"18-19/1",
IF(#REF!=2,"18-19/2",
IF(#REF!=3,"19-20/1",
IF(#REF!=4,"19-20/2",
IF(#REF!=5,"20-21/1",
IF(#REF!=6,"20-21/2",
IF(#REF!=7,"21-22/1",
IF(#REF!=8,"21-22/2","Hata1")))))))),
IF(#REF!+BM31=2019,
IF(#REF!=1,"19-20/1",
IF(#REF!=2,"19-20/2",
IF(#REF!=3,"20-21/1",
IF(#REF!=4,"20-21/2",
IF(#REF!=5,"21-22/1",
IF(#REF!=6,"21-22/2",
IF(#REF!=7,"22-23/1",
IF(#REF!=8,"22-23/2","Hata2")))))))),
IF(#REF!+BM31=2020,
IF(#REF!=1,"20-21/1",
IF(#REF!=2,"20-21/2",
IF(#REF!=3,"21-22/1",
IF(#REF!=4,"21-22/2",
IF(#REF!=5,"22-23/1",
IF(#REF!=6,"22-23/2",
IF(#REF!=7,"23-24/1",
IF(#REF!=8,"23-24/2","Hata3")))))))),
IF(#REF!+BM31=2021,
IF(#REF!=1,"21-22/1",
IF(#REF!=2,"21-22/2",
IF(#REF!=3,"22-23/1",
IF(#REF!=4,"22-23/2",
IF(#REF!=5,"23-24/1",
IF(#REF!=6,"23-24/2",
IF(#REF!=7,"24-25/1",
IF(#REF!=8,"24-25/2","Hata4")))))))),
IF(#REF!+BM31=2022,
IF(#REF!=1,"22-23/1",
IF(#REF!=2,"22-23/2",
IF(#REF!=3,"23-24/1",
IF(#REF!=4,"23-24/2",
IF(#REF!=5,"24-25/1",
IF(#REF!=6,"24-25/2",
IF(#REF!=7,"25-26/1",
IF(#REF!=8,"25-26/2","Hata5")))))))),
IF(#REF!+BM31=2023,
IF(#REF!=1,"23-24/1",
IF(#REF!=2,"23-24/2",
IF(#REF!=3,"24-25/1",
IF(#REF!=4,"24-25/2",
IF(#REF!=5,"25-26/1",
IF(#REF!=6,"25-26/2",
IF(#REF!=7,"26-27/1",
IF(#REF!=8,"26-27/2","Hata6")))))))),
)))))),
IF(BE31="T",
IF(#REF!+BM31=2018,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" s="1" t="s">
        <v>59</v>
      </c>
      <c r="J31" s="1">
        <v>4234786</v>
      </c>
      <c r="L31" s="2">
        <v>4366</v>
      </c>
      <c r="N31" s="2">
        <v>1</v>
      </c>
      <c r="O31" s="6">
        <f t="shared" si="0"/>
        <v>1</v>
      </c>
      <c r="P31" s="2">
        <f t="shared" si="1"/>
        <v>1</v>
      </c>
      <c r="Q31" s="2">
        <v>1</v>
      </c>
      <c r="R31" s="2">
        <v>0</v>
      </c>
      <c r="S31" s="2">
        <v>0</v>
      </c>
      <c r="X31" s="33">
        <v>0</v>
      </c>
      <c r="Y31" s="1">
        <f>VLOOKUP(X31,[4]ölçme_sistemleri!I:L,2,FALSE)</f>
        <v>0</v>
      </c>
      <c r="Z31" s="1">
        <f>VLOOKUP(X31,[4]ölçme_sistemleri!I:L,3,FALSE)</f>
        <v>0</v>
      </c>
      <c r="AA31" s="1">
        <f>VLOOKUP(X31,[4]ölçme_sistemleri!I:L,4,FALSE)</f>
        <v>0</v>
      </c>
      <c r="AB31" s="1">
        <f>$O31*[4]ölçme_sistemleri!J$13</f>
        <v>1</v>
      </c>
      <c r="AC31" s="1">
        <f>$O31*[4]ölçme_sistemleri!K$13</f>
        <v>2</v>
      </c>
      <c r="AD31" s="1">
        <f>$O31*[4]ölçme_sistemleri!L$13</f>
        <v>3</v>
      </c>
      <c r="AE31" s="1">
        <f t="shared" si="2"/>
        <v>0</v>
      </c>
      <c r="AF31" s="1">
        <f t="shared" si="3"/>
        <v>0</v>
      </c>
      <c r="AG31" s="1">
        <f t="shared" si="4"/>
        <v>0</v>
      </c>
      <c r="AH31" s="1">
        <f t="shared" si="5"/>
        <v>0</v>
      </c>
      <c r="AI31" s="1">
        <v>14</v>
      </c>
      <c r="AJ31" s="1">
        <f>VLOOKUP(X31,[4]ölçme_sistemleri!I:M,5,FALSE)</f>
        <v>0</v>
      </c>
      <c r="AK31" s="1">
        <f t="shared" si="6"/>
        <v>0</v>
      </c>
      <c r="AL31" s="1">
        <f t="shared" si="29"/>
        <v>14</v>
      </c>
      <c r="AM31" s="1">
        <f>VLOOKUP(X31,[4]ölçme_sistemleri!I:N,6,FALSE)</f>
        <v>0</v>
      </c>
      <c r="AN31" s="1">
        <v>2</v>
      </c>
      <c r="AO31" s="1">
        <f t="shared" si="7"/>
        <v>0</v>
      </c>
      <c r="AP31" s="1">
        <v>14</v>
      </c>
      <c r="AQ31" s="1">
        <f t="shared" si="8"/>
        <v>14</v>
      </c>
      <c r="AR31" s="1">
        <f t="shared" si="9"/>
        <v>28</v>
      </c>
      <c r="AS31" s="1">
        <f t="shared" si="30"/>
        <v>25</v>
      </c>
      <c r="AT31" s="1">
        <f t="shared" si="11"/>
        <v>1</v>
      </c>
      <c r="AU31" s="1">
        <f t="shared" si="12"/>
        <v>0</v>
      </c>
      <c r="AV31" s="1">
        <f t="shared" si="13"/>
        <v>0</v>
      </c>
      <c r="AW31" s="1">
        <f t="shared" si="14"/>
        <v>0</v>
      </c>
      <c r="AX31" s="1">
        <f t="shared" si="15"/>
        <v>0</v>
      </c>
      <c r="AY31" s="1">
        <f t="shared" si="16"/>
        <v>-3</v>
      </c>
      <c r="AZ31" s="1">
        <f t="shared" si="17"/>
        <v>0</v>
      </c>
      <c r="BA31" s="1">
        <f t="shared" si="18"/>
        <v>-14</v>
      </c>
      <c r="BB31" s="1">
        <f t="shared" si="19"/>
        <v>0</v>
      </c>
      <c r="BC31" s="1">
        <f t="shared" si="20"/>
        <v>0</v>
      </c>
      <c r="BD31" s="1">
        <f t="shared" si="21"/>
        <v>0</v>
      </c>
      <c r="BE31" s="1" t="s">
        <v>65</v>
      </c>
      <c r="BF31" s="1">
        <f t="shared" si="22"/>
        <v>14</v>
      </c>
      <c r="BG31" s="1">
        <f t="shared" si="23"/>
        <v>14</v>
      </c>
      <c r="BH31" s="1">
        <f t="shared" si="24"/>
        <v>0</v>
      </c>
      <c r="BI31" s="1" t="e">
        <f>IF(BH31-#REF!=0,"DOĞRU","YANLIŞ")</f>
        <v>#REF!</v>
      </c>
      <c r="BJ31" s="1" t="e">
        <f>#REF!-BH31</f>
        <v>#REF!</v>
      </c>
      <c r="BK31" s="1">
        <v>0</v>
      </c>
      <c r="BM31" s="1">
        <v>0</v>
      </c>
      <c r="BO31" s="1">
        <v>0</v>
      </c>
      <c r="BT31" s="8">
        <f t="shared" si="25"/>
        <v>0</v>
      </c>
      <c r="BU31" s="9"/>
      <c r="BV31" s="10"/>
      <c r="BW31" s="11"/>
      <c r="BX31" s="11"/>
      <c r="BY31" s="11"/>
      <c r="BZ31" s="11"/>
      <c r="CA31" s="11"/>
      <c r="CB31" s="12"/>
      <c r="CC31" s="13"/>
      <c r="CD31" s="14"/>
      <c r="CL31" s="11"/>
      <c r="CM31" s="11"/>
      <c r="CN31" s="11"/>
      <c r="CO31" s="11"/>
      <c r="CP31" s="11"/>
      <c r="CQ31" s="46"/>
      <c r="CR31" s="46"/>
      <c r="CS31" s="48"/>
      <c r="CT31" s="48"/>
      <c r="CU31" s="48"/>
      <c r="CV31" s="48"/>
      <c r="CW31" s="49"/>
      <c r="CX31" s="49"/>
    </row>
    <row r="32" spans="1:102" hidden="1" x14ac:dyDescent="0.25">
      <c r="A32" s="1" t="s">
        <v>85</v>
      </c>
      <c r="B32" s="1" t="s">
        <v>86</v>
      </c>
      <c r="C32" s="1" t="s">
        <v>86</v>
      </c>
      <c r="D32" s="2" t="s">
        <v>63</v>
      </c>
      <c r="E32" s="2" t="s">
        <v>63</v>
      </c>
      <c r="F32" s="3" t="e">
        <f>IF(BE32="S",
IF(#REF!+BM32=2018,
IF(#REF!=1,"18-19/1",
IF(#REF!=2,"18-19/2",
IF(#REF!=3,"19-20/1",
IF(#REF!=4,"19-20/2",
IF(#REF!=5,"20-21/1",
IF(#REF!=6,"20-21/2",
IF(#REF!=7,"21-22/1",
IF(#REF!=8,"21-22/2","Hata1")))))))),
IF(#REF!+BM32=2019,
IF(#REF!=1,"19-20/1",
IF(#REF!=2,"19-20/2",
IF(#REF!=3,"20-21/1",
IF(#REF!=4,"20-21/2",
IF(#REF!=5,"21-22/1",
IF(#REF!=6,"21-22/2",
IF(#REF!=7,"22-23/1",
IF(#REF!=8,"22-23/2","Hata2")))))))),
IF(#REF!+BM32=2020,
IF(#REF!=1,"20-21/1",
IF(#REF!=2,"20-21/2",
IF(#REF!=3,"21-22/1",
IF(#REF!=4,"21-22/2",
IF(#REF!=5,"22-23/1",
IF(#REF!=6,"22-23/2",
IF(#REF!=7,"23-24/1",
IF(#REF!=8,"23-24/2","Hata3")))))))),
IF(#REF!+BM32=2021,
IF(#REF!=1,"21-22/1",
IF(#REF!=2,"21-22/2",
IF(#REF!=3,"22-23/1",
IF(#REF!=4,"22-23/2",
IF(#REF!=5,"23-24/1",
IF(#REF!=6,"23-24/2",
IF(#REF!=7,"24-25/1",
IF(#REF!=8,"24-25/2","Hata4")))))))),
IF(#REF!+BM32=2022,
IF(#REF!=1,"22-23/1",
IF(#REF!=2,"22-23/2",
IF(#REF!=3,"23-24/1",
IF(#REF!=4,"23-24/2",
IF(#REF!=5,"24-25/1",
IF(#REF!=6,"24-25/2",
IF(#REF!=7,"25-26/1",
IF(#REF!=8,"25-26/2","Hata5")))))))),
IF(#REF!+BM32=2023,
IF(#REF!=1,"23-24/1",
IF(#REF!=2,"23-24/2",
IF(#REF!=3,"24-25/1",
IF(#REF!=4,"24-25/2",
IF(#REF!=5,"25-26/1",
IF(#REF!=6,"25-26/2",
IF(#REF!=7,"26-27/1",
IF(#REF!=8,"26-27/2","Hata6")))))))),
)))))),
IF(BE32="T",
IF(#REF!+BM32=2018,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2" s="1" t="s">
        <v>59</v>
      </c>
      <c r="J32" s="1">
        <v>4234786</v>
      </c>
      <c r="L32" s="2">
        <v>3429</v>
      </c>
      <c r="N32" s="2">
        <v>5</v>
      </c>
      <c r="O32" s="6">
        <f t="shared" si="0"/>
        <v>3</v>
      </c>
      <c r="P32" s="2">
        <f t="shared" si="1"/>
        <v>3</v>
      </c>
      <c r="Q32" s="2">
        <v>3</v>
      </c>
      <c r="R32" s="2">
        <v>0</v>
      </c>
      <c r="S32" s="2">
        <v>0</v>
      </c>
      <c r="X32" s="3">
        <v>3</v>
      </c>
      <c r="Y32" s="1">
        <f>VLOOKUP(X32,[6]ölçme_sistemleri!I:L,2,FALSE)</f>
        <v>2</v>
      </c>
      <c r="Z32" s="1">
        <f>VLOOKUP(X32,[6]ölçme_sistemleri!I:L,3,FALSE)</f>
        <v>1</v>
      </c>
      <c r="AA32" s="1">
        <f>VLOOKUP(X32,[6]ölçme_sistemleri!I:L,4,FALSE)</f>
        <v>1</v>
      </c>
      <c r="AB32" s="1">
        <f>$O32*[6]ölçme_sistemleri!$J$13</f>
        <v>3</v>
      </c>
      <c r="AC32" s="1">
        <f>$O32*[6]ölçme_sistemleri!$K$13</f>
        <v>6</v>
      </c>
      <c r="AD32" s="1">
        <f>$O32*[6]ölçme_sistemleri!$L$13</f>
        <v>9</v>
      </c>
      <c r="AE32" s="1">
        <f t="shared" si="2"/>
        <v>6</v>
      </c>
      <c r="AF32" s="1">
        <f t="shared" si="3"/>
        <v>6</v>
      </c>
      <c r="AG32" s="1">
        <f t="shared" si="4"/>
        <v>9</v>
      </c>
      <c r="AH32" s="1">
        <f t="shared" si="5"/>
        <v>21</v>
      </c>
      <c r="AI32" s="1">
        <v>14</v>
      </c>
      <c r="AJ32" s="1">
        <f>VLOOKUP(X32,[6]ölçme_sistemleri!I:M,5,FALSE)</f>
        <v>3</v>
      </c>
      <c r="AK32" s="1">
        <f t="shared" si="6"/>
        <v>294</v>
      </c>
      <c r="AL32" s="1">
        <f t="shared" si="29"/>
        <v>42</v>
      </c>
      <c r="AM32" s="1">
        <f>VLOOKUP(X32,[6]ölçme_sistemleri!I:N,6,FALSE)</f>
        <v>4</v>
      </c>
      <c r="AN32" s="1">
        <v>2</v>
      </c>
      <c r="AO32" s="1">
        <f t="shared" si="7"/>
        <v>8</v>
      </c>
      <c r="AP32" s="1">
        <v>14</v>
      </c>
      <c r="AQ32" s="1">
        <f t="shared" si="8"/>
        <v>42</v>
      </c>
      <c r="AR32" s="1">
        <f t="shared" si="9"/>
        <v>113</v>
      </c>
      <c r="AS32" s="1">
        <f t="shared" si="30"/>
        <v>25</v>
      </c>
      <c r="AT32" s="1">
        <f t="shared" si="11"/>
        <v>5</v>
      </c>
      <c r="AU32" s="1">
        <f t="shared" si="12"/>
        <v>0</v>
      </c>
      <c r="AV32" s="1">
        <f t="shared" si="13"/>
        <v>0</v>
      </c>
      <c r="AW32" s="1">
        <f t="shared" si="14"/>
        <v>0</v>
      </c>
      <c r="AX32" s="1">
        <f t="shared" si="15"/>
        <v>0</v>
      </c>
      <c r="AY32" s="1">
        <f t="shared" si="16"/>
        <v>-21</v>
      </c>
      <c r="AZ32" s="1">
        <f t="shared" si="17"/>
        <v>0</v>
      </c>
      <c r="BA32" s="1">
        <f t="shared" si="18"/>
        <v>-42</v>
      </c>
      <c r="BB32" s="1">
        <f t="shared" ref="BB32:BB61" si="31">IF(BE32="s",
IF(W32=0,0,
IF(W32=1,4*5,
IF(W32=2,4*3,
IF(W32=3,4*4,
IF(W32=4,4*2,
IF(W32=5,4,
IF(W32=6,4/2,
IF(W32=7,4*2,)))))))),
IF(BE32="t",
IF(W32=0,0,
IF(W32=1,4*5,
IF(W32=2,4*3,
IF(W32=3,4*4,
IF(W32=4,4*2,
IF(W32=5,4,
IF(W32=6,4/2,
IF(W32=7,4*2))))))))))</f>
        <v>0</v>
      </c>
      <c r="BC32" s="1">
        <f t="shared" si="20"/>
        <v>-8</v>
      </c>
      <c r="BD32" s="1">
        <f t="shared" si="21"/>
        <v>0</v>
      </c>
      <c r="BE32" s="1" t="s">
        <v>65</v>
      </c>
      <c r="BF32" s="1">
        <f t="shared" si="22"/>
        <v>42</v>
      </c>
      <c r="BG32" s="1">
        <f t="shared" ref="BG32:BG61" si="32">IF(BL32="Z",(BF32+BD32)*1.15,(BF32+BD32))</f>
        <v>42</v>
      </c>
      <c r="BH32" s="1">
        <f t="shared" si="24"/>
        <v>1</v>
      </c>
      <c r="BI32" s="1" t="e">
        <f>IF(BH32-#REF!=0,"DOĞRU","YANLIŞ")</f>
        <v>#REF!</v>
      </c>
      <c r="BJ32" s="1" t="e">
        <f>#REF!-BH32</f>
        <v>#REF!</v>
      </c>
      <c r="BK32" s="1">
        <v>0</v>
      </c>
      <c r="BM32" s="1">
        <v>0</v>
      </c>
      <c r="BO32" s="1">
        <v>4</v>
      </c>
      <c r="BT32" s="8">
        <f t="shared" si="25"/>
        <v>0</v>
      </c>
      <c r="BU32" s="9"/>
      <c r="BV32" s="10"/>
      <c r="BW32" s="11"/>
      <c r="BX32" s="11"/>
      <c r="BY32" s="11"/>
      <c r="BZ32" s="11"/>
      <c r="CA32" s="11"/>
      <c r="CB32" s="12"/>
      <c r="CC32" s="13"/>
      <c r="CD32" s="14"/>
      <c r="CL32" s="11"/>
      <c r="CM32" s="11"/>
      <c r="CN32" s="11"/>
      <c r="CO32" s="11"/>
      <c r="CP32" s="11"/>
      <c r="CQ32" s="54"/>
      <c r="CR32" s="46"/>
      <c r="CS32" s="54"/>
      <c r="CT32" s="48"/>
      <c r="CU32" s="48"/>
      <c r="CV32" s="48"/>
      <c r="CW32" s="49"/>
      <c r="CX32" s="49"/>
    </row>
    <row r="33" spans="1:102" hidden="1" x14ac:dyDescent="0.25">
      <c r="A33" s="1" t="s">
        <v>131</v>
      </c>
      <c r="B33" s="1" t="s">
        <v>132</v>
      </c>
      <c r="C33" s="1" t="s">
        <v>132</v>
      </c>
      <c r="D33" s="2" t="s">
        <v>63</v>
      </c>
      <c r="E33" s="2" t="s">
        <v>63</v>
      </c>
      <c r="F33" s="3" t="e">
        <f>IF(BE33="S",
IF(#REF!+BM33=2018,
IF(#REF!=1,"18-19/1",
IF(#REF!=2,"18-19/2",
IF(#REF!=3,"19-20/1",
IF(#REF!=4,"19-20/2",
IF(#REF!=5,"20-21/1",
IF(#REF!=6,"20-21/2",
IF(#REF!=7,"21-22/1",
IF(#REF!=8,"21-22/2","Hata1")))))))),
IF(#REF!+BM33=2019,
IF(#REF!=1,"19-20/1",
IF(#REF!=2,"19-20/2",
IF(#REF!=3,"20-21/1",
IF(#REF!=4,"20-21/2",
IF(#REF!=5,"21-22/1",
IF(#REF!=6,"21-22/2",
IF(#REF!=7,"22-23/1",
IF(#REF!=8,"22-23/2","Hata2")))))))),
IF(#REF!+BM33=2020,
IF(#REF!=1,"20-21/1",
IF(#REF!=2,"20-21/2",
IF(#REF!=3,"21-22/1",
IF(#REF!=4,"21-22/2",
IF(#REF!=5,"22-23/1",
IF(#REF!=6,"22-23/2",
IF(#REF!=7,"23-24/1",
IF(#REF!=8,"23-24/2","Hata3")))))))),
IF(#REF!+BM33=2021,
IF(#REF!=1,"21-22/1",
IF(#REF!=2,"21-22/2",
IF(#REF!=3,"22-23/1",
IF(#REF!=4,"22-23/2",
IF(#REF!=5,"23-24/1",
IF(#REF!=6,"23-24/2",
IF(#REF!=7,"24-25/1",
IF(#REF!=8,"24-25/2","Hata4")))))))),
IF(#REF!+BM33=2022,
IF(#REF!=1,"22-23/1",
IF(#REF!=2,"22-23/2",
IF(#REF!=3,"23-24/1",
IF(#REF!=4,"23-24/2",
IF(#REF!=5,"24-25/1",
IF(#REF!=6,"24-25/2",
IF(#REF!=7,"25-26/1",
IF(#REF!=8,"25-26/2","Hata5")))))))),
IF(#REF!+BM33=2023,
IF(#REF!=1,"23-24/1",
IF(#REF!=2,"23-24/2",
IF(#REF!=3,"24-25/1",
IF(#REF!=4,"24-25/2",
IF(#REF!=5,"25-26/1",
IF(#REF!=6,"25-26/2",
IF(#REF!=7,"26-27/1",
IF(#REF!=8,"26-27/2","Hata6")))))))),
)))))),
IF(BE33="T",
IF(#REF!+BM33=2018,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" s="1" t="s">
        <v>59</v>
      </c>
      <c r="J33" s="1">
        <v>4234786</v>
      </c>
      <c r="L33" s="2">
        <v>3468</v>
      </c>
      <c r="N33" s="2">
        <v>5</v>
      </c>
      <c r="O33" s="6">
        <f t="shared" si="0"/>
        <v>3</v>
      </c>
      <c r="P33" s="2">
        <f t="shared" si="1"/>
        <v>3</v>
      </c>
      <c r="Q33" s="2">
        <v>0</v>
      </c>
      <c r="R33" s="2">
        <v>0</v>
      </c>
      <c r="S33" s="2">
        <v>3</v>
      </c>
      <c r="X33" s="3">
        <v>3</v>
      </c>
      <c r="Y33" s="1">
        <f>VLOOKUP(X33,[7]ölçme_sistemleri!I:L,2,FALSE)</f>
        <v>2</v>
      </c>
      <c r="Z33" s="1">
        <f>VLOOKUP(X33,[7]ölçme_sistemleri!I:L,3,FALSE)</f>
        <v>1</v>
      </c>
      <c r="AA33" s="1">
        <f>VLOOKUP(X33,[7]ölçme_sistemleri!I:L,4,FALSE)</f>
        <v>1</v>
      </c>
      <c r="AB33" s="1">
        <f>$O33*[7]ölçme_sistemleri!$J$13</f>
        <v>3</v>
      </c>
      <c r="AC33" s="1">
        <f>$O33*[7]ölçme_sistemleri!$K$13</f>
        <v>6</v>
      </c>
      <c r="AD33" s="1">
        <f>$O33*[7]ölçme_sistemleri!$L$13</f>
        <v>9</v>
      </c>
      <c r="AE33" s="1">
        <f t="shared" si="2"/>
        <v>6</v>
      </c>
      <c r="AF33" s="1">
        <f t="shared" si="3"/>
        <v>6</v>
      </c>
      <c r="AG33" s="1">
        <f t="shared" si="4"/>
        <v>9</v>
      </c>
      <c r="AH33" s="1">
        <f t="shared" si="5"/>
        <v>21</v>
      </c>
      <c r="AI33" s="1">
        <v>14</v>
      </c>
      <c r="AJ33" s="1">
        <f>VLOOKUP(X33,[7]ölçme_sistemleri!I:M,5,FALSE)</f>
        <v>3</v>
      </c>
      <c r="AK33" s="1">
        <f t="shared" si="6"/>
        <v>294</v>
      </c>
      <c r="AL33" s="1">
        <f t="shared" si="29"/>
        <v>42</v>
      </c>
      <c r="AM33" s="1">
        <f>VLOOKUP(X33,[7]ölçme_sistemleri!I:N,6,FALSE)</f>
        <v>4</v>
      </c>
      <c r="AN33" s="1">
        <v>2</v>
      </c>
      <c r="AO33" s="1">
        <f t="shared" si="7"/>
        <v>8</v>
      </c>
      <c r="AP33" s="1">
        <v>14</v>
      </c>
      <c r="AQ33" s="1">
        <f t="shared" si="8"/>
        <v>42</v>
      </c>
      <c r="AR33" s="1">
        <f t="shared" si="9"/>
        <v>113</v>
      </c>
      <c r="AS33" s="1">
        <f t="shared" si="30"/>
        <v>25</v>
      </c>
      <c r="AT33" s="1">
        <f t="shared" si="11"/>
        <v>5</v>
      </c>
      <c r="AU33" s="1">
        <f t="shared" si="12"/>
        <v>0</v>
      </c>
      <c r="AV33" s="1">
        <f t="shared" si="13"/>
        <v>0</v>
      </c>
      <c r="AW33" s="1">
        <f t="shared" si="14"/>
        <v>0</v>
      </c>
      <c r="AX33" s="1">
        <f t="shared" si="15"/>
        <v>0</v>
      </c>
      <c r="AY33" s="1">
        <f t="shared" si="16"/>
        <v>-21</v>
      </c>
      <c r="AZ33" s="1">
        <f t="shared" si="17"/>
        <v>0</v>
      </c>
      <c r="BA33" s="1">
        <f t="shared" si="18"/>
        <v>-42</v>
      </c>
      <c r="BB33" s="1">
        <f t="shared" si="31"/>
        <v>0</v>
      </c>
      <c r="BC33" s="1">
        <f t="shared" si="20"/>
        <v>-8</v>
      </c>
      <c r="BD33" s="1">
        <f t="shared" si="21"/>
        <v>0</v>
      </c>
      <c r="BE33" s="1" t="s">
        <v>65</v>
      </c>
      <c r="BF33" s="1">
        <f t="shared" si="22"/>
        <v>42</v>
      </c>
      <c r="BG33" s="1">
        <f t="shared" si="32"/>
        <v>42</v>
      </c>
      <c r="BH33" s="1">
        <f t="shared" si="24"/>
        <v>1</v>
      </c>
      <c r="BI33" s="1" t="e">
        <f>IF(BH33-#REF!=0,"DOĞRU","YANLIŞ")</f>
        <v>#REF!</v>
      </c>
      <c r="BJ33" s="1" t="e">
        <f>#REF!-BH33</f>
        <v>#REF!</v>
      </c>
      <c r="BK33" s="1">
        <v>1</v>
      </c>
      <c r="BM33" s="1">
        <v>0</v>
      </c>
      <c r="BO33" s="1">
        <v>4</v>
      </c>
      <c r="BT33" s="8">
        <f t="shared" si="25"/>
        <v>0</v>
      </c>
      <c r="BU33" s="9"/>
      <c r="BV33" s="10"/>
      <c r="BW33" s="11"/>
      <c r="BX33" s="11"/>
      <c r="BY33" s="11"/>
      <c r="BZ33" s="11"/>
      <c r="CA33" s="11"/>
      <c r="CB33" s="12"/>
      <c r="CC33" s="13"/>
      <c r="CD33" s="14"/>
      <c r="CL33" s="11"/>
      <c r="CM33" s="11"/>
      <c r="CN33" s="11"/>
      <c r="CO33" s="11"/>
      <c r="CP33" s="11"/>
      <c r="CQ33" s="49"/>
      <c r="CR33" s="46"/>
      <c r="CS33" s="48"/>
      <c r="CT33" s="48"/>
      <c r="CU33" s="48"/>
      <c r="CV33" s="48"/>
      <c r="CW33" s="49"/>
      <c r="CX33" s="49"/>
    </row>
    <row r="34" spans="1:102" x14ac:dyDescent="0.25">
      <c r="A34" s="112" t="s">
        <v>136</v>
      </c>
      <c r="B34" s="112" t="s">
        <v>134</v>
      </c>
      <c r="C34" s="1" t="s">
        <v>134</v>
      </c>
      <c r="D34" s="2" t="s">
        <v>63</v>
      </c>
      <c r="E34" s="2" t="s">
        <v>63</v>
      </c>
      <c r="F34" s="3" t="e">
        <f>IF(BE34="S",
IF(#REF!+BM34=2018,
IF(#REF!=1,"18-19/1",
IF(#REF!=2,"18-19/2",
IF(#REF!=3,"19-20/1",
IF(#REF!=4,"19-20/2",
IF(#REF!=5,"20-21/1",
IF(#REF!=6,"20-21/2",
IF(#REF!=7,"21-22/1",
IF(#REF!=8,"21-22/2","Hata1")))))))),
IF(#REF!+BM34=2019,
IF(#REF!=1,"19-20/1",
IF(#REF!=2,"19-20/2",
IF(#REF!=3,"20-21/1",
IF(#REF!=4,"20-21/2",
IF(#REF!=5,"21-22/1",
IF(#REF!=6,"21-22/2",
IF(#REF!=7,"22-23/1",
IF(#REF!=8,"22-23/2","Hata2")))))))),
IF(#REF!+BM34=2020,
IF(#REF!=1,"20-21/1",
IF(#REF!=2,"20-21/2",
IF(#REF!=3,"21-22/1",
IF(#REF!=4,"21-22/2",
IF(#REF!=5,"22-23/1",
IF(#REF!=6,"22-23/2",
IF(#REF!=7,"23-24/1",
IF(#REF!=8,"23-24/2","Hata3")))))))),
IF(#REF!+BM34=2021,
IF(#REF!=1,"21-22/1",
IF(#REF!=2,"21-22/2",
IF(#REF!=3,"22-23/1",
IF(#REF!=4,"22-23/2",
IF(#REF!=5,"23-24/1",
IF(#REF!=6,"23-24/2",
IF(#REF!=7,"24-25/1",
IF(#REF!=8,"24-25/2","Hata4")))))))),
IF(#REF!+BM34=2022,
IF(#REF!=1,"22-23/1",
IF(#REF!=2,"22-23/2",
IF(#REF!=3,"23-24/1",
IF(#REF!=4,"23-24/2",
IF(#REF!=5,"24-25/1",
IF(#REF!=6,"24-25/2",
IF(#REF!=7,"25-26/1",
IF(#REF!=8,"25-26/2","Hata5")))))))),
IF(#REF!+BM34=2023,
IF(#REF!=1,"23-24/1",
IF(#REF!=2,"23-24/2",
IF(#REF!=3,"24-25/1",
IF(#REF!=4,"24-25/2",
IF(#REF!=5,"25-26/1",
IF(#REF!=6,"25-26/2",
IF(#REF!=7,"26-27/1",
IF(#REF!=8,"26-27/2","Hata6")))))))),
)))))),
IF(BE34="T",
IF(#REF!+BM34=2018,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4" s="112" t="s">
        <v>59</v>
      </c>
      <c r="J34" s="1">
        <v>4234786</v>
      </c>
      <c r="L34" s="2">
        <v>3426</v>
      </c>
      <c r="N34" s="113">
        <v>5</v>
      </c>
      <c r="O34" s="89">
        <f t="shared" si="0"/>
        <v>4</v>
      </c>
      <c r="P34" s="2">
        <f t="shared" si="1"/>
        <v>4</v>
      </c>
      <c r="Q34" s="2">
        <v>2</v>
      </c>
      <c r="R34" s="2">
        <v>0</v>
      </c>
      <c r="S34" s="2">
        <v>2</v>
      </c>
      <c r="X34" s="90">
        <v>4</v>
      </c>
      <c r="Y34" s="1">
        <f>VLOOKUP(X34,[6]ölçme_sistemleri!I:L,2,FALSE)</f>
        <v>0</v>
      </c>
      <c r="Z34" s="1">
        <f>VLOOKUP(X34,[6]ölçme_sistemleri!I:L,3,FALSE)</f>
        <v>1</v>
      </c>
      <c r="AA34" s="1">
        <f>VLOOKUP(X34,[6]ölçme_sistemleri!I:L,4,FALSE)</f>
        <v>1</v>
      </c>
      <c r="AB34" s="1">
        <f>$O34*[6]ölçme_sistemleri!$J$13</f>
        <v>4</v>
      </c>
      <c r="AC34" s="1">
        <f>$O34*[6]ölçme_sistemleri!$K$13</f>
        <v>8</v>
      </c>
      <c r="AD34" s="1">
        <f>$O34*[6]ölçme_sistemleri!$L$13</f>
        <v>12</v>
      </c>
      <c r="AE34" s="1">
        <f t="shared" si="2"/>
        <v>0</v>
      </c>
      <c r="AF34" s="1">
        <f t="shared" si="3"/>
        <v>8</v>
      </c>
      <c r="AG34" s="1">
        <f t="shared" si="4"/>
        <v>12</v>
      </c>
      <c r="AH34" s="1">
        <f t="shared" si="5"/>
        <v>20</v>
      </c>
      <c r="AI34" s="1">
        <v>14</v>
      </c>
      <c r="AJ34" s="1">
        <f>VLOOKUP(X34,[6]ölçme_sistemleri!I:M,5,FALSE)</f>
        <v>1</v>
      </c>
      <c r="AK34" s="1">
        <f t="shared" si="6"/>
        <v>280</v>
      </c>
      <c r="AL34" s="1">
        <f t="shared" si="29"/>
        <v>56</v>
      </c>
      <c r="AM34" s="1">
        <f>VLOOKUP(X34,[6]ölçme_sistemleri!I:N,6,FALSE)</f>
        <v>2</v>
      </c>
      <c r="AN34" s="1">
        <v>2</v>
      </c>
      <c r="AO34" s="1">
        <f t="shared" si="7"/>
        <v>4</v>
      </c>
      <c r="AP34" s="1">
        <v>14</v>
      </c>
      <c r="AQ34" s="1">
        <f t="shared" si="8"/>
        <v>56</v>
      </c>
      <c r="AR34" s="1">
        <f t="shared" si="9"/>
        <v>136</v>
      </c>
      <c r="AS34" s="1">
        <f t="shared" si="30"/>
        <v>25</v>
      </c>
      <c r="AT34" s="1">
        <f t="shared" si="11"/>
        <v>5</v>
      </c>
      <c r="AU34" s="1">
        <f t="shared" si="12"/>
        <v>0</v>
      </c>
      <c r="AV34" s="1">
        <f t="shared" ref="AV34:AV65" si="33">IF(BE34="s",IF(W34=0,0,
IF(W34=1,N34*4*4,
IF(W34=2,0,
IF(W34=3,N34*4*2,
IF(W34=4,0,
IF(W34=5,0,
IF(W34=6,0,
IF(W34=7,0)))))))),
IF(BE34="t",
IF(W34=0,0,
IF(W34=1,N34*4*4*0.8,
IF(W34=2,0,
IF(W34=3,N34*4*2*0.8,
IF(W34=4,0,
IF(W34=5,0,
IF(W34=6,0,
IF(W34=7,0))))))))))</f>
        <v>0</v>
      </c>
      <c r="AW34" s="1">
        <f t="shared" ref="AW34:AW65" si="34">IF(BE34="s",
IF(W34=0,0,
IF(W34=1,0,
IF(W34=2,N34*4*2,
IF(W34=3,N34*4,
IF(W34=4,N34*4,
IF(W34=5,0,
IF(W34=6,0,
IF(W34=7,N34*4)))))))),
IF(BE34="t",
IF(W34=0,0,
IF(W34=1,0,
IF(W34=2,N34*4*2*0.8,
IF(W34=3,N34*4*0.8,
IF(W34=4,N34*4*0.8,
IF(W34=5,0,
IF(W34=6,0,
IF(W34=7,N34*4))))))))))</f>
        <v>0</v>
      </c>
      <c r="AX34" s="1">
        <f t="shared" ref="AX34:AX65" si="35">IF(BE34="s",
IF(W34=0,0,
IF(W34=1,N34*2,
IF(W34=2,N34*2,
IF(W34=3,N34*2,
IF(W34=4,N34*2,
IF(W34=5,N34*2,
IF(W34=6,N34*2,
IF(W34=7,N34*2)))))))),
IF(BE34="t",
IF(W34=0,O34*2*0.8,
IF(W34=1,N34*2*0.8,
IF(W34=2,N34*2*0.8,
IF(W34=3,N34*2*0.8,
IF(W34=4,N34*2*0.8,
IF(W34=5,N34*2*0.8,
IF(W34=6,N34*1*0.8,
IF(W34=7,N34*2))))))))))</f>
        <v>0</v>
      </c>
      <c r="AY34" s="1">
        <f t="shared" si="16"/>
        <v>-20</v>
      </c>
      <c r="AZ34" s="1">
        <f t="shared" ref="AZ34:AZ65" si="36">IF(BE34="s",
IF(W34=0,0,
IF(W34=1,(14-2)*(P34+R34)/4*4,
IF(W34=2,(14-2)*(P34+R34)/4*2,
IF(W34=3,(14-2)*(P34+R34)/4*3,
IF(W34=4,(14-2)*(P34+R34)/4,
IF(W34=5,(14-2)*N34/4,
IF(W34=6,0,
IF(W34=7,(14)*R34)))))))),
IF(BE34="t",
IF(W34=0,0,
IF(W34=1,(11-2)*(P34+R34)/4*4,
IF(W34=2,(11-2)*(P34+R34)/4*2,
IF(W34=3,(11-2)*(P34+R34)/4*3,
IF(W34=4,(11-2)*(P34+R34)/4,
IF(W34=5,(11-2)*N34/4,
IF(W34=6,0,
IF(W34=7,(11)*N34))))))))))</f>
        <v>0</v>
      </c>
      <c r="BA34" s="1">
        <f t="shared" si="18"/>
        <v>-56</v>
      </c>
      <c r="BB34" s="1">
        <f t="shared" si="31"/>
        <v>0</v>
      </c>
      <c r="BC34" s="1">
        <f t="shared" si="20"/>
        <v>-4</v>
      </c>
      <c r="BD34" s="1">
        <f t="shared" si="21"/>
        <v>0</v>
      </c>
      <c r="BE34" s="1" t="s">
        <v>65</v>
      </c>
      <c r="BF34" s="1">
        <f t="shared" ref="BF34:BF65" si="37">IF(BL34="A",0,IF(BE34="s",14*O34,IF(BE34="T",11*O34,"HATA")))</f>
        <v>56</v>
      </c>
      <c r="BG34" s="1">
        <f t="shared" si="32"/>
        <v>56</v>
      </c>
      <c r="BH34" s="1">
        <f t="shared" si="24"/>
        <v>2</v>
      </c>
      <c r="BI34" s="1" t="e">
        <f>IF(BH34-#REF!=0,"DOĞRU","YANLIŞ")</f>
        <v>#REF!</v>
      </c>
      <c r="BJ34" s="1" t="e">
        <f>#REF!-BH34</f>
        <v>#REF!</v>
      </c>
      <c r="BK34" s="1">
        <v>1</v>
      </c>
      <c r="BM34" s="1">
        <v>0</v>
      </c>
      <c r="BO34" s="1">
        <v>4</v>
      </c>
      <c r="BT34" s="8">
        <f t="shared" ref="BT34:BT65" si="38">R34*14</f>
        <v>0</v>
      </c>
      <c r="BU34" s="9"/>
      <c r="BV34" s="10"/>
      <c r="BW34" s="11"/>
      <c r="BX34" s="11"/>
      <c r="BY34" s="11"/>
      <c r="BZ34" s="11"/>
      <c r="CA34" s="11"/>
      <c r="CB34" s="12"/>
      <c r="CC34" s="13"/>
      <c r="CD34" s="14"/>
      <c r="CL34" s="114"/>
      <c r="CM34" s="114"/>
      <c r="CN34" s="114"/>
      <c r="CO34" s="114"/>
      <c r="CP34" s="114" t="s">
        <v>442</v>
      </c>
      <c r="CQ34" s="111">
        <v>44324</v>
      </c>
      <c r="CR34" s="114" t="s">
        <v>529</v>
      </c>
      <c r="CS34" s="84"/>
      <c r="CT34" s="91"/>
      <c r="CU34" s="48"/>
      <c r="CV34" s="48"/>
      <c r="CW34" s="49"/>
      <c r="CX34" s="49"/>
    </row>
    <row r="35" spans="1:102" hidden="1" x14ac:dyDescent="0.25">
      <c r="A35" s="1" t="s">
        <v>125</v>
      </c>
      <c r="B35" s="1" t="s">
        <v>126</v>
      </c>
      <c r="C35" s="1" t="s">
        <v>126</v>
      </c>
      <c r="D35" s="2" t="s">
        <v>63</v>
      </c>
      <c r="E35" s="2" t="s">
        <v>63</v>
      </c>
      <c r="F35" s="3" t="e">
        <f>IF(BE35="S",
IF(#REF!+BM35=2018,
IF(#REF!=1,"18-19/1",
IF(#REF!=2,"18-19/2",
IF(#REF!=3,"19-20/1",
IF(#REF!=4,"19-20/2",
IF(#REF!=5,"20-21/1",
IF(#REF!=6,"20-21/2",
IF(#REF!=7,"21-22/1",
IF(#REF!=8,"21-22/2","Hata1")))))))),
IF(#REF!+BM35=2019,
IF(#REF!=1,"19-20/1",
IF(#REF!=2,"19-20/2",
IF(#REF!=3,"20-21/1",
IF(#REF!=4,"20-21/2",
IF(#REF!=5,"21-22/1",
IF(#REF!=6,"21-22/2",
IF(#REF!=7,"22-23/1",
IF(#REF!=8,"22-23/2","Hata2")))))))),
IF(#REF!+BM35=2020,
IF(#REF!=1,"20-21/1",
IF(#REF!=2,"20-21/2",
IF(#REF!=3,"21-22/1",
IF(#REF!=4,"21-22/2",
IF(#REF!=5,"22-23/1",
IF(#REF!=6,"22-23/2",
IF(#REF!=7,"23-24/1",
IF(#REF!=8,"23-24/2","Hata3")))))))),
IF(#REF!+BM35=2021,
IF(#REF!=1,"21-22/1",
IF(#REF!=2,"21-22/2",
IF(#REF!=3,"22-23/1",
IF(#REF!=4,"22-23/2",
IF(#REF!=5,"23-24/1",
IF(#REF!=6,"23-24/2",
IF(#REF!=7,"24-25/1",
IF(#REF!=8,"24-25/2","Hata4")))))))),
IF(#REF!+BM35=2022,
IF(#REF!=1,"22-23/1",
IF(#REF!=2,"22-23/2",
IF(#REF!=3,"23-24/1",
IF(#REF!=4,"23-24/2",
IF(#REF!=5,"24-25/1",
IF(#REF!=6,"24-25/2",
IF(#REF!=7,"25-26/1",
IF(#REF!=8,"25-26/2","Hata5")))))))),
IF(#REF!+BM35=2023,
IF(#REF!=1,"23-24/1",
IF(#REF!=2,"23-24/2",
IF(#REF!=3,"24-25/1",
IF(#REF!=4,"24-25/2",
IF(#REF!=5,"25-26/1",
IF(#REF!=6,"25-26/2",
IF(#REF!=7,"26-27/1",
IF(#REF!=8,"26-27/2","Hata6")))))))),
)))))),
IF(BE35="T",
IF(#REF!+BM35=2018,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5" s="1" t="s">
        <v>59</v>
      </c>
      <c r="J35" s="1">
        <v>4234786</v>
      </c>
      <c r="L35" s="2">
        <v>1681</v>
      </c>
      <c r="N35" s="2">
        <v>4</v>
      </c>
      <c r="O35" s="6">
        <f t="shared" si="0"/>
        <v>3</v>
      </c>
      <c r="P35" s="2">
        <f t="shared" si="1"/>
        <v>3</v>
      </c>
      <c r="Q35" s="2">
        <v>3</v>
      </c>
      <c r="R35" s="2">
        <v>0</v>
      </c>
      <c r="S35" s="2">
        <v>0</v>
      </c>
      <c r="X35" s="3">
        <v>2</v>
      </c>
      <c r="Y35" s="1">
        <f>VLOOKUP(X35,[6]ölçme_sistemleri!I:L,2,FALSE)</f>
        <v>0</v>
      </c>
      <c r="Z35" s="1">
        <f>VLOOKUP(X35,[6]ölçme_sistemleri!I:L,3,FALSE)</f>
        <v>2</v>
      </c>
      <c r="AA35" s="1">
        <f>VLOOKUP(X35,[6]ölçme_sistemleri!I:L,4,FALSE)</f>
        <v>1</v>
      </c>
      <c r="AB35" s="1">
        <f>$O35*[6]ölçme_sistemleri!$J$13</f>
        <v>3</v>
      </c>
      <c r="AC35" s="1">
        <f>$O35*[6]ölçme_sistemleri!$K$13</f>
        <v>6</v>
      </c>
      <c r="AD35" s="1">
        <f>$O35*[6]ölçme_sistemleri!$L$13</f>
        <v>9</v>
      </c>
      <c r="AE35" s="1">
        <f t="shared" si="2"/>
        <v>0</v>
      </c>
      <c r="AF35" s="1">
        <f t="shared" si="3"/>
        <v>12</v>
      </c>
      <c r="AG35" s="1">
        <f t="shared" si="4"/>
        <v>9</v>
      </c>
      <c r="AH35" s="1">
        <f t="shared" si="5"/>
        <v>21</v>
      </c>
      <c r="AI35" s="1">
        <v>14</v>
      </c>
      <c r="AJ35" s="1">
        <f>VLOOKUP(X35,[6]ölçme_sistemleri!I:M,5,FALSE)</f>
        <v>2</v>
      </c>
      <c r="AK35" s="1">
        <f t="shared" si="6"/>
        <v>294</v>
      </c>
      <c r="AL35" s="1">
        <f t="shared" si="29"/>
        <v>42</v>
      </c>
      <c r="AM35" s="1">
        <f>VLOOKUP(X35,[6]ölçme_sistemleri!I:N,6,FALSE)</f>
        <v>3</v>
      </c>
      <c r="AN35" s="1">
        <v>2</v>
      </c>
      <c r="AO35" s="1">
        <f t="shared" si="7"/>
        <v>6</v>
      </c>
      <c r="AP35" s="1">
        <v>14</v>
      </c>
      <c r="AQ35" s="1">
        <f t="shared" si="8"/>
        <v>42</v>
      </c>
      <c r="AR35" s="1">
        <f t="shared" si="9"/>
        <v>111</v>
      </c>
      <c r="AS35" s="1">
        <f t="shared" si="30"/>
        <v>25</v>
      </c>
      <c r="AT35" s="1">
        <f t="shared" si="11"/>
        <v>4</v>
      </c>
      <c r="AU35" s="1">
        <f t="shared" si="12"/>
        <v>0</v>
      </c>
      <c r="AV35" s="1">
        <f t="shared" si="33"/>
        <v>0</v>
      </c>
      <c r="AW35" s="1">
        <f t="shared" si="34"/>
        <v>0</v>
      </c>
      <c r="AX35" s="1">
        <f t="shared" si="35"/>
        <v>0</v>
      </c>
      <c r="AY35" s="1">
        <f t="shared" si="16"/>
        <v>-21</v>
      </c>
      <c r="AZ35" s="1">
        <f t="shared" si="36"/>
        <v>0</v>
      </c>
      <c r="BA35" s="1">
        <f t="shared" si="18"/>
        <v>-42</v>
      </c>
      <c r="BB35" s="1">
        <f t="shared" si="31"/>
        <v>0</v>
      </c>
      <c r="BC35" s="1">
        <f t="shared" si="20"/>
        <v>-6</v>
      </c>
      <c r="BD35" s="1">
        <f t="shared" si="21"/>
        <v>0</v>
      </c>
      <c r="BE35" s="1" t="s">
        <v>65</v>
      </c>
      <c r="BF35" s="1">
        <f t="shared" si="37"/>
        <v>42</v>
      </c>
      <c r="BG35" s="1">
        <f t="shared" si="32"/>
        <v>42</v>
      </c>
      <c r="BH35" s="1">
        <f t="shared" si="24"/>
        <v>1</v>
      </c>
      <c r="BI35" s="1" t="e">
        <f>IF(BH35-#REF!=0,"DOĞRU","YANLIŞ")</f>
        <v>#REF!</v>
      </c>
      <c r="BJ35" s="1" t="e">
        <f>#REF!-BH35</f>
        <v>#REF!</v>
      </c>
      <c r="BK35" s="1">
        <v>0</v>
      </c>
      <c r="BM35" s="1">
        <v>0</v>
      </c>
      <c r="BO35" s="1">
        <v>4</v>
      </c>
      <c r="BT35" s="8">
        <f t="shared" si="38"/>
        <v>0</v>
      </c>
      <c r="BU35" s="9"/>
      <c r="BV35" s="10"/>
      <c r="BW35" s="11"/>
      <c r="BX35" s="11"/>
      <c r="BY35" s="11"/>
      <c r="BZ35" s="11"/>
      <c r="CA35" s="11"/>
      <c r="CB35" s="12"/>
      <c r="CC35" s="13"/>
      <c r="CD35" s="14"/>
      <c r="CL35" s="11"/>
      <c r="CM35" s="11"/>
      <c r="CN35" s="11"/>
      <c r="CO35" s="11"/>
      <c r="CP35" s="11"/>
      <c r="CQ35" s="49"/>
      <c r="CR35" s="46"/>
      <c r="CS35" s="49"/>
      <c r="CT35" s="48"/>
      <c r="CU35" s="49"/>
      <c r="CV35" s="48"/>
      <c r="CW35" s="49"/>
      <c r="CX35" s="49"/>
    </row>
    <row r="36" spans="1:102" hidden="1" x14ac:dyDescent="0.25">
      <c r="A36" s="1" t="s">
        <v>127</v>
      </c>
      <c r="B36" s="1" t="s">
        <v>128</v>
      </c>
      <c r="C36" s="1" t="s">
        <v>128</v>
      </c>
      <c r="D36" s="2" t="s">
        <v>63</v>
      </c>
      <c r="E36" s="2" t="s">
        <v>63</v>
      </c>
      <c r="F36" s="3" t="e">
        <f>IF(BE36="S",
IF(#REF!+BM36=2018,
IF(#REF!=1,"18-19/1",
IF(#REF!=2,"18-19/2",
IF(#REF!=3,"19-20/1",
IF(#REF!=4,"19-20/2",
IF(#REF!=5,"20-21/1",
IF(#REF!=6,"20-21/2",
IF(#REF!=7,"21-22/1",
IF(#REF!=8,"21-22/2","Hata1")))))))),
IF(#REF!+BM36=2019,
IF(#REF!=1,"19-20/1",
IF(#REF!=2,"19-20/2",
IF(#REF!=3,"20-21/1",
IF(#REF!=4,"20-21/2",
IF(#REF!=5,"21-22/1",
IF(#REF!=6,"21-22/2",
IF(#REF!=7,"22-23/1",
IF(#REF!=8,"22-23/2","Hata2")))))))),
IF(#REF!+BM36=2020,
IF(#REF!=1,"20-21/1",
IF(#REF!=2,"20-21/2",
IF(#REF!=3,"21-22/1",
IF(#REF!=4,"21-22/2",
IF(#REF!=5,"22-23/1",
IF(#REF!=6,"22-23/2",
IF(#REF!=7,"23-24/1",
IF(#REF!=8,"23-24/2","Hata3")))))))),
IF(#REF!+BM36=2021,
IF(#REF!=1,"21-22/1",
IF(#REF!=2,"21-22/2",
IF(#REF!=3,"22-23/1",
IF(#REF!=4,"22-23/2",
IF(#REF!=5,"23-24/1",
IF(#REF!=6,"23-24/2",
IF(#REF!=7,"24-25/1",
IF(#REF!=8,"24-25/2","Hata4")))))))),
IF(#REF!+BM36=2022,
IF(#REF!=1,"22-23/1",
IF(#REF!=2,"22-23/2",
IF(#REF!=3,"23-24/1",
IF(#REF!=4,"23-24/2",
IF(#REF!=5,"24-25/1",
IF(#REF!=6,"24-25/2",
IF(#REF!=7,"25-26/1",
IF(#REF!=8,"25-26/2","Hata5")))))))),
IF(#REF!+BM36=2023,
IF(#REF!=1,"23-24/1",
IF(#REF!=2,"23-24/2",
IF(#REF!=3,"24-25/1",
IF(#REF!=4,"24-25/2",
IF(#REF!=5,"25-26/1",
IF(#REF!=6,"25-26/2",
IF(#REF!=7,"26-27/1",
IF(#REF!=8,"26-27/2","Hata6")))))))),
)))))),
IF(BE36="T",
IF(#REF!+BM36=2018,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6" s="1" t="s">
        <v>59</v>
      </c>
      <c r="J36" s="1">
        <v>4234786</v>
      </c>
      <c r="L36" s="2">
        <v>3422</v>
      </c>
      <c r="N36" s="2">
        <v>3</v>
      </c>
      <c r="O36" s="6">
        <f t="shared" si="0"/>
        <v>2</v>
      </c>
      <c r="P36" s="2">
        <f t="shared" si="1"/>
        <v>2</v>
      </c>
      <c r="Q36" s="2">
        <v>0</v>
      </c>
      <c r="R36" s="2">
        <v>0</v>
      </c>
      <c r="S36" s="2">
        <v>2</v>
      </c>
      <c r="X36" s="3">
        <v>2</v>
      </c>
      <c r="Y36" s="1">
        <f>VLOOKUP(X36,[6]ölçme_sistemleri!I:L,2,FALSE)</f>
        <v>0</v>
      </c>
      <c r="Z36" s="1">
        <f>VLOOKUP(X36,[6]ölçme_sistemleri!I:L,3,FALSE)</f>
        <v>2</v>
      </c>
      <c r="AA36" s="1">
        <f>VLOOKUP(X36,[6]ölçme_sistemleri!I:L,4,FALSE)</f>
        <v>1</v>
      </c>
      <c r="AB36" s="1">
        <f>$O36*[6]ölçme_sistemleri!$J$13</f>
        <v>2</v>
      </c>
      <c r="AC36" s="1">
        <f>$O36*[6]ölçme_sistemleri!$K$13</f>
        <v>4</v>
      </c>
      <c r="AD36" s="1">
        <f>$O36*[6]ölçme_sistemleri!$L$13</f>
        <v>6</v>
      </c>
      <c r="AE36" s="1">
        <f t="shared" si="2"/>
        <v>0</v>
      </c>
      <c r="AF36" s="1">
        <f t="shared" si="3"/>
        <v>8</v>
      </c>
      <c r="AG36" s="1">
        <f t="shared" si="4"/>
        <v>6</v>
      </c>
      <c r="AH36" s="1">
        <f t="shared" si="5"/>
        <v>14</v>
      </c>
      <c r="AI36" s="1">
        <v>14</v>
      </c>
      <c r="AJ36" s="1">
        <f>VLOOKUP(X36,[6]ölçme_sistemleri!I:M,5,FALSE)</f>
        <v>2</v>
      </c>
      <c r="AK36" s="1">
        <f t="shared" si="6"/>
        <v>196</v>
      </c>
      <c r="AL36" s="1">
        <f t="shared" si="29"/>
        <v>28</v>
      </c>
      <c r="AM36" s="1">
        <f>VLOOKUP(X36,[6]ölçme_sistemleri!I:N,6,FALSE)</f>
        <v>3</v>
      </c>
      <c r="AN36" s="1">
        <v>2</v>
      </c>
      <c r="AO36" s="1">
        <f t="shared" si="7"/>
        <v>6</v>
      </c>
      <c r="AP36" s="1">
        <v>14</v>
      </c>
      <c r="AQ36" s="1">
        <f t="shared" si="8"/>
        <v>28</v>
      </c>
      <c r="AR36" s="1">
        <f t="shared" si="9"/>
        <v>76</v>
      </c>
      <c r="AS36" s="1">
        <f t="shared" si="30"/>
        <v>25</v>
      </c>
      <c r="AT36" s="1">
        <f t="shared" si="11"/>
        <v>3</v>
      </c>
      <c r="AU36" s="1">
        <f t="shared" si="12"/>
        <v>0</v>
      </c>
      <c r="AV36" s="1">
        <f t="shared" si="33"/>
        <v>0</v>
      </c>
      <c r="AW36" s="1">
        <f t="shared" si="34"/>
        <v>0</v>
      </c>
      <c r="AX36" s="1">
        <f t="shared" si="35"/>
        <v>0</v>
      </c>
      <c r="AY36" s="1">
        <f t="shared" si="16"/>
        <v>-14</v>
      </c>
      <c r="AZ36" s="1">
        <f t="shared" si="36"/>
        <v>0</v>
      </c>
      <c r="BA36" s="1">
        <f t="shared" si="18"/>
        <v>-28</v>
      </c>
      <c r="BB36" s="1">
        <f t="shared" si="31"/>
        <v>0</v>
      </c>
      <c r="BC36" s="1">
        <f t="shared" si="20"/>
        <v>-6</v>
      </c>
      <c r="BD36" s="1">
        <f t="shared" si="21"/>
        <v>0</v>
      </c>
      <c r="BE36" s="1" t="s">
        <v>65</v>
      </c>
      <c r="BF36" s="1">
        <f t="shared" si="37"/>
        <v>28</v>
      </c>
      <c r="BG36" s="1">
        <f t="shared" si="32"/>
        <v>28</v>
      </c>
      <c r="BH36" s="1">
        <f t="shared" si="24"/>
        <v>1</v>
      </c>
      <c r="BI36" s="1" t="e">
        <f>IF(BH36-#REF!=0,"DOĞRU","YANLIŞ")</f>
        <v>#REF!</v>
      </c>
      <c r="BJ36" s="1" t="e">
        <f>#REF!-BH36</f>
        <v>#REF!</v>
      </c>
      <c r="BK36" s="1">
        <v>0</v>
      </c>
      <c r="BM36" s="1">
        <v>0</v>
      </c>
      <c r="BO36" s="1">
        <v>4</v>
      </c>
      <c r="BT36" s="8">
        <f t="shared" si="38"/>
        <v>0</v>
      </c>
      <c r="BU36" s="9"/>
      <c r="BV36" s="10"/>
      <c r="BW36" s="11"/>
      <c r="BX36" s="11"/>
      <c r="BY36" s="11"/>
      <c r="BZ36" s="11"/>
      <c r="CA36" s="11"/>
      <c r="CB36" s="12"/>
      <c r="CC36" s="13"/>
      <c r="CD36" s="14"/>
      <c r="CL36" s="11"/>
      <c r="CM36" s="11"/>
      <c r="CN36" s="11"/>
      <c r="CO36" s="11"/>
      <c r="CP36" s="11"/>
      <c r="CQ36" s="46"/>
      <c r="CR36" s="46"/>
      <c r="CS36" s="48"/>
      <c r="CT36" s="48"/>
      <c r="CU36" s="48"/>
      <c r="CV36" s="48"/>
      <c r="CW36" s="49"/>
      <c r="CX36" s="49"/>
    </row>
    <row r="37" spans="1:102" hidden="1" x14ac:dyDescent="0.25">
      <c r="A37" s="1" t="s">
        <v>129</v>
      </c>
      <c r="B37" s="1" t="s">
        <v>130</v>
      </c>
      <c r="C37" s="1" t="s">
        <v>130</v>
      </c>
      <c r="D37" s="2" t="s">
        <v>63</v>
      </c>
      <c r="E37" s="2" t="s">
        <v>63</v>
      </c>
      <c r="F37" s="3" t="e">
        <f>IF(BE37="S",
IF(#REF!+BM37=2018,
IF(#REF!=1,"18-19/1",
IF(#REF!=2,"18-19/2",
IF(#REF!=3,"19-20/1",
IF(#REF!=4,"19-20/2",
IF(#REF!=5,"20-21/1",
IF(#REF!=6,"20-21/2",
IF(#REF!=7,"21-22/1",
IF(#REF!=8,"21-22/2","Hata1")))))))),
IF(#REF!+BM37=2019,
IF(#REF!=1,"19-20/1",
IF(#REF!=2,"19-20/2",
IF(#REF!=3,"20-21/1",
IF(#REF!=4,"20-21/2",
IF(#REF!=5,"21-22/1",
IF(#REF!=6,"21-22/2",
IF(#REF!=7,"22-23/1",
IF(#REF!=8,"22-23/2","Hata2")))))))),
IF(#REF!+BM37=2020,
IF(#REF!=1,"20-21/1",
IF(#REF!=2,"20-21/2",
IF(#REF!=3,"21-22/1",
IF(#REF!=4,"21-22/2",
IF(#REF!=5,"22-23/1",
IF(#REF!=6,"22-23/2",
IF(#REF!=7,"23-24/1",
IF(#REF!=8,"23-24/2","Hata3")))))))),
IF(#REF!+BM37=2021,
IF(#REF!=1,"21-22/1",
IF(#REF!=2,"21-22/2",
IF(#REF!=3,"22-23/1",
IF(#REF!=4,"22-23/2",
IF(#REF!=5,"23-24/1",
IF(#REF!=6,"23-24/2",
IF(#REF!=7,"24-25/1",
IF(#REF!=8,"24-25/2","Hata4")))))))),
IF(#REF!+BM37=2022,
IF(#REF!=1,"22-23/1",
IF(#REF!=2,"22-23/2",
IF(#REF!=3,"23-24/1",
IF(#REF!=4,"23-24/2",
IF(#REF!=5,"24-25/1",
IF(#REF!=6,"24-25/2",
IF(#REF!=7,"25-26/1",
IF(#REF!=8,"25-26/2","Hata5")))))))),
IF(#REF!+BM37=2023,
IF(#REF!=1,"23-24/1",
IF(#REF!=2,"23-24/2",
IF(#REF!=3,"24-25/1",
IF(#REF!=4,"24-25/2",
IF(#REF!=5,"25-26/1",
IF(#REF!=6,"25-26/2",
IF(#REF!=7,"26-27/1",
IF(#REF!=8,"26-27/2","Hata6")))))))),
)))))),
IF(BE37="T",
IF(#REF!+BM37=2018,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7" s="1" t="s">
        <v>59</v>
      </c>
      <c r="J37" s="1">
        <v>4234786</v>
      </c>
      <c r="L37" s="2">
        <v>3397</v>
      </c>
      <c r="N37" s="2">
        <v>4</v>
      </c>
      <c r="O37" s="6">
        <f t="shared" si="0"/>
        <v>3</v>
      </c>
      <c r="P37" s="2">
        <f t="shared" si="1"/>
        <v>3</v>
      </c>
      <c r="Q37" s="2">
        <v>0</v>
      </c>
      <c r="R37" s="2">
        <v>0</v>
      </c>
      <c r="S37" s="2">
        <v>3</v>
      </c>
      <c r="X37" s="3">
        <v>2</v>
      </c>
      <c r="Y37" s="1">
        <f>VLOOKUP(X37,[6]ölçme_sistemleri!I:L,2,FALSE)</f>
        <v>0</v>
      </c>
      <c r="Z37" s="1">
        <f>VLOOKUP(X37,[6]ölçme_sistemleri!I:L,3,FALSE)</f>
        <v>2</v>
      </c>
      <c r="AA37" s="1">
        <f>VLOOKUP(X37,[6]ölçme_sistemleri!I:L,4,FALSE)</f>
        <v>1</v>
      </c>
      <c r="AB37" s="1">
        <f>$O37*[6]ölçme_sistemleri!$J$13</f>
        <v>3</v>
      </c>
      <c r="AC37" s="1">
        <f>$O37*[6]ölçme_sistemleri!$K$13</f>
        <v>6</v>
      </c>
      <c r="AD37" s="1">
        <f>$O37*[6]ölçme_sistemleri!$L$13</f>
        <v>9</v>
      </c>
      <c r="AE37" s="1">
        <f t="shared" si="2"/>
        <v>0</v>
      </c>
      <c r="AF37" s="1">
        <f t="shared" si="3"/>
        <v>12</v>
      </c>
      <c r="AG37" s="1">
        <f t="shared" si="4"/>
        <v>9</v>
      </c>
      <c r="AH37" s="1">
        <f t="shared" si="5"/>
        <v>21</v>
      </c>
      <c r="AI37" s="1">
        <v>14</v>
      </c>
      <c r="AJ37" s="1">
        <f>VLOOKUP(X37,[6]ölçme_sistemleri!I:M,5,FALSE)</f>
        <v>2</v>
      </c>
      <c r="AK37" s="1">
        <f t="shared" si="6"/>
        <v>294</v>
      </c>
      <c r="AL37" s="1">
        <f t="shared" si="29"/>
        <v>42</v>
      </c>
      <c r="AM37" s="1">
        <f>VLOOKUP(X37,[6]ölçme_sistemleri!I:N,6,FALSE)</f>
        <v>3</v>
      </c>
      <c r="AN37" s="1">
        <v>2</v>
      </c>
      <c r="AO37" s="1">
        <f t="shared" si="7"/>
        <v>6</v>
      </c>
      <c r="AP37" s="1">
        <v>14</v>
      </c>
      <c r="AQ37" s="1">
        <f t="shared" si="8"/>
        <v>42</v>
      </c>
      <c r="AR37" s="1">
        <f t="shared" si="9"/>
        <v>111</v>
      </c>
      <c r="AS37" s="1">
        <f t="shared" si="30"/>
        <v>25</v>
      </c>
      <c r="AT37" s="1">
        <f t="shared" si="11"/>
        <v>4</v>
      </c>
      <c r="AU37" s="1">
        <f t="shared" si="12"/>
        <v>0</v>
      </c>
      <c r="AV37" s="1">
        <f t="shared" si="33"/>
        <v>0</v>
      </c>
      <c r="AW37" s="1">
        <f t="shared" si="34"/>
        <v>0</v>
      </c>
      <c r="AX37" s="1">
        <f t="shared" si="35"/>
        <v>0</v>
      </c>
      <c r="AY37" s="1">
        <f t="shared" si="16"/>
        <v>-21</v>
      </c>
      <c r="AZ37" s="1">
        <f t="shared" si="36"/>
        <v>0</v>
      </c>
      <c r="BA37" s="1">
        <f t="shared" si="18"/>
        <v>-42</v>
      </c>
      <c r="BB37" s="1">
        <f t="shared" si="31"/>
        <v>0</v>
      </c>
      <c r="BC37" s="1">
        <f t="shared" si="20"/>
        <v>-6</v>
      </c>
      <c r="BD37" s="1">
        <f t="shared" si="21"/>
        <v>0</v>
      </c>
      <c r="BE37" s="1" t="s">
        <v>65</v>
      </c>
      <c r="BF37" s="1">
        <f t="shared" si="37"/>
        <v>42</v>
      </c>
      <c r="BG37" s="1">
        <f t="shared" si="32"/>
        <v>42</v>
      </c>
      <c r="BH37" s="1">
        <f t="shared" si="24"/>
        <v>1</v>
      </c>
      <c r="BI37" s="1" t="e">
        <f>IF(BH37-#REF!=0,"DOĞRU","YANLIŞ")</f>
        <v>#REF!</v>
      </c>
      <c r="BJ37" s="1" t="e">
        <f>#REF!-BH37</f>
        <v>#REF!</v>
      </c>
      <c r="BK37" s="1">
        <v>0</v>
      </c>
      <c r="BM37" s="1">
        <v>0</v>
      </c>
      <c r="BO37" s="1">
        <v>4</v>
      </c>
      <c r="BT37" s="8">
        <f t="shared" si="38"/>
        <v>0</v>
      </c>
      <c r="BU37" s="9"/>
      <c r="BV37" s="10"/>
      <c r="BW37" s="11"/>
      <c r="BX37" s="11"/>
      <c r="BY37" s="11"/>
      <c r="BZ37" s="11"/>
      <c r="CA37" s="11"/>
      <c r="CB37" s="12"/>
      <c r="CC37" s="13"/>
      <c r="CD37" s="14"/>
      <c r="CL37" s="11"/>
      <c r="CM37" s="11"/>
      <c r="CN37" s="11"/>
      <c r="CO37" s="11"/>
      <c r="CP37" s="11"/>
      <c r="CQ37" s="54"/>
      <c r="CR37" s="55"/>
      <c r="CS37" s="49"/>
      <c r="CT37" s="46"/>
      <c r="CU37" s="48"/>
      <c r="CV37" s="48"/>
      <c r="CW37" s="49"/>
      <c r="CX37" s="49"/>
    </row>
    <row r="38" spans="1:102" hidden="1" x14ac:dyDescent="0.25">
      <c r="A38" s="1" t="s">
        <v>418</v>
      </c>
      <c r="B38" s="1" t="s">
        <v>419</v>
      </c>
      <c r="C38" s="1" t="s">
        <v>419</v>
      </c>
      <c r="D38" s="2" t="s">
        <v>58</v>
      </c>
      <c r="E38" s="2" t="s">
        <v>58</v>
      </c>
      <c r="F38" s="3" t="e">
        <f>IF(BE38="S",
IF(#REF!+BM38=2018,
IF(#REF!=1,"18-19/1",
IF(#REF!=2,"18-19/2",
IF(#REF!=3,"19-20/1",
IF(#REF!=4,"19-20/2",
IF(#REF!=5,"20-21/1",
IF(#REF!=6,"20-21/2",
IF(#REF!=7,"21-22/1",
IF(#REF!=8,"21-22/2","Hata1")))))))),
IF(#REF!+BM38=2019,
IF(#REF!=1,"19-20/1",
IF(#REF!=2,"19-20/2",
IF(#REF!=3,"20-21/1",
IF(#REF!=4,"20-21/2",
IF(#REF!=5,"21-22/1",
IF(#REF!=6,"21-22/2",
IF(#REF!=7,"22-23/1",
IF(#REF!=8,"22-23/2","Hata2")))))))),
IF(#REF!+BM38=2020,
IF(#REF!=1,"20-21/1",
IF(#REF!=2,"20-21/2",
IF(#REF!=3,"21-22/1",
IF(#REF!=4,"21-22/2",
IF(#REF!=5,"22-23/1",
IF(#REF!=6,"22-23/2",
IF(#REF!=7,"23-24/1",
IF(#REF!=8,"23-24/2","Hata3")))))))),
IF(#REF!+BM38=2021,
IF(#REF!=1,"21-22/1",
IF(#REF!=2,"21-22/2",
IF(#REF!=3,"22-23/1",
IF(#REF!=4,"22-23/2",
IF(#REF!=5,"23-24/1",
IF(#REF!=6,"23-24/2",
IF(#REF!=7,"24-25/1",
IF(#REF!=8,"24-25/2","Hata4")))))))),
IF(#REF!+BM38=2022,
IF(#REF!=1,"22-23/1",
IF(#REF!=2,"22-23/2",
IF(#REF!=3,"23-24/1",
IF(#REF!=4,"23-24/2",
IF(#REF!=5,"24-25/1",
IF(#REF!=6,"24-25/2",
IF(#REF!=7,"25-26/1",
IF(#REF!=8,"25-26/2","Hata5")))))))),
IF(#REF!+BM38=2023,
IF(#REF!=1,"23-24/1",
IF(#REF!=2,"23-24/2",
IF(#REF!=3,"24-25/1",
IF(#REF!=4,"24-25/2",
IF(#REF!=5,"25-26/1",
IF(#REF!=6,"25-26/2",
IF(#REF!=7,"26-27/1",
IF(#REF!=8,"26-27/2","Hata6")))))))),
)))))),
IF(BE38="T",
IF(#REF!+BM38=2018,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38" s="3">
        <v>0</v>
      </c>
      <c r="I38" s="1" t="s">
        <v>59</v>
      </c>
      <c r="J38" s="1">
        <v>4234786</v>
      </c>
      <c r="L38" s="2">
        <v>3478</v>
      </c>
      <c r="N38" s="2">
        <v>4</v>
      </c>
      <c r="O38" s="6">
        <f t="shared" si="0"/>
        <v>3</v>
      </c>
      <c r="P38" s="2">
        <f t="shared" si="1"/>
        <v>3</v>
      </c>
      <c r="Q38" s="2">
        <v>0</v>
      </c>
      <c r="R38" s="2">
        <v>0</v>
      </c>
      <c r="S38" s="2">
        <v>3</v>
      </c>
      <c r="X38" s="3">
        <v>2</v>
      </c>
      <c r="Y38" s="1">
        <f>VLOOKUP(X38,[6]ölçme_sistemleri!I:L,2,FALSE)</f>
        <v>0</v>
      </c>
      <c r="Z38" s="1">
        <f>VLOOKUP(X38,[6]ölçme_sistemleri!I:L,3,FALSE)</f>
        <v>2</v>
      </c>
      <c r="AA38" s="1">
        <f>VLOOKUP(X38,[6]ölçme_sistemleri!I:L,4,FALSE)</f>
        <v>1</v>
      </c>
      <c r="AB38" s="1">
        <f>$O38*[6]ölçme_sistemleri!$J$13</f>
        <v>3</v>
      </c>
      <c r="AC38" s="1">
        <f>$O38*[6]ölçme_sistemleri!$K$13</f>
        <v>6</v>
      </c>
      <c r="AD38" s="1">
        <f>$O38*[6]ölçme_sistemleri!$L$13</f>
        <v>9</v>
      </c>
      <c r="AE38" s="1">
        <f t="shared" si="2"/>
        <v>0</v>
      </c>
      <c r="AF38" s="1">
        <f t="shared" si="3"/>
        <v>12</v>
      </c>
      <c r="AG38" s="1">
        <f t="shared" si="4"/>
        <v>9</v>
      </c>
      <c r="AH38" s="1">
        <f t="shared" si="5"/>
        <v>21</v>
      </c>
      <c r="AI38" s="1">
        <v>14</v>
      </c>
      <c r="AJ38" s="1">
        <f>VLOOKUP(X38,[6]ölçme_sistemleri!I:M,5,FALSE)</f>
        <v>2</v>
      </c>
      <c r="AK38" s="1">
        <f t="shared" si="6"/>
        <v>294</v>
      </c>
      <c r="AL38" s="1">
        <f t="shared" si="29"/>
        <v>42</v>
      </c>
      <c r="AM38" s="1">
        <f>VLOOKUP(X38,[6]ölçme_sistemleri!I:N,6,FALSE)</f>
        <v>3</v>
      </c>
      <c r="AN38" s="1">
        <v>2</v>
      </c>
      <c r="AO38" s="1">
        <f t="shared" si="7"/>
        <v>6</v>
      </c>
      <c r="AP38" s="1">
        <v>14</v>
      </c>
      <c r="AQ38" s="1">
        <f t="shared" si="8"/>
        <v>42</v>
      </c>
      <c r="AR38" s="1">
        <f t="shared" si="9"/>
        <v>111</v>
      </c>
      <c r="AS38" s="1">
        <f t="shared" si="30"/>
        <v>25</v>
      </c>
      <c r="AT38" s="1">
        <f t="shared" si="11"/>
        <v>4</v>
      </c>
      <c r="AU38" s="1">
        <f t="shared" si="12"/>
        <v>0</v>
      </c>
      <c r="AV38" s="1">
        <f t="shared" si="33"/>
        <v>0</v>
      </c>
      <c r="AW38" s="1">
        <f t="shared" si="34"/>
        <v>0</v>
      </c>
      <c r="AX38" s="1">
        <f t="shared" si="35"/>
        <v>0</v>
      </c>
      <c r="AY38" s="1">
        <f t="shared" si="16"/>
        <v>-21</v>
      </c>
      <c r="AZ38" s="1">
        <f t="shared" si="36"/>
        <v>0</v>
      </c>
      <c r="BA38" s="1">
        <f t="shared" si="18"/>
        <v>-42</v>
      </c>
      <c r="BB38" s="1">
        <f t="shared" si="31"/>
        <v>0</v>
      </c>
      <c r="BC38" s="1">
        <f t="shared" si="20"/>
        <v>-6</v>
      </c>
      <c r="BD38" s="1">
        <f t="shared" si="21"/>
        <v>0</v>
      </c>
      <c r="BE38" s="1" t="s">
        <v>65</v>
      </c>
      <c r="BF38" s="1">
        <f t="shared" si="37"/>
        <v>42</v>
      </c>
      <c r="BG38" s="1">
        <f t="shared" si="32"/>
        <v>42</v>
      </c>
      <c r="BH38" s="1">
        <f t="shared" si="24"/>
        <v>1</v>
      </c>
      <c r="BI38" s="1" t="e">
        <f>IF(BH38-#REF!=0,"DOĞRU","YANLIŞ")</f>
        <v>#REF!</v>
      </c>
      <c r="BJ38" s="1" t="e">
        <f>#REF!-BH38</f>
        <v>#REF!</v>
      </c>
      <c r="BK38" s="1">
        <v>0</v>
      </c>
      <c r="BM38" s="1">
        <v>0</v>
      </c>
      <c r="BO38" s="1">
        <v>4</v>
      </c>
      <c r="BT38" s="8">
        <f t="shared" si="38"/>
        <v>0</v>
      </c>
      <c r="BU38" s="9"/>
      <c r="BV38" s="10"/>
      <c r="BW38" s="11"/>
      <c r="BX38" s="11"/>
      <c r="BY38" s="11"/>
      <c r="BZ38" s="11"/>
      <c r="CA38" s="11"/>
      <c r="CB38" s="12"/>
      <c r="CC38" s="13"/>
      <c r="CD38" s="14"/>
      <c r="CL38" s="11"/>
      <c r="CM38" s="11"/>
      <c r="CN38" s="11"/>
      <c r="CO38" s="11"/>
      <c r="CP38" s="11"/>
      <c r="CQ38" s="46"/>
      <c r="CR38" s="46"/>
      <c r="CS38" s="48"/>
      <c r="CT38" s="48"/>
      <c r="CU38" s="48"/>
      <c r="CV38" s="48"/>
      <c r="CW38" s="49"/>
      <c r="CX38" s="49"/>
    </row>
    <row r="39" spans="1:102" hidden="1" x14ac:dyDescent="0.25">
      <c r="A39" s="1" t="s">
        <v>420</v>
      </c>
      <c r="B39" s="1" t="s">
        <v>421</v>
      </c>
      <c r="C39" s="1" t="s">
        <v>421</v>
      </c>
      <c r="D39" s="2" t="s">
        <v>63</v>
      </c>
      <c r="E39" s="2" t="s">
        <v>63</v>
      </c>
      <c r="F39" s="3" t="e">
        <f>IF(BE39="S",
IF(#REF!+BM39=2018,
IF(#REF!=1,"18-19/1",
IF(#REF!=2,"18-19/2",
IF(#REF!=3,"19-20/1",
IF(#REF!=4,"19-20/2",
IF(#REF!=5,"20-21/1",
IF(#REF!=6,"20-21/2",
IF(#REF!=7,"21-22/1",
IF(#REF!=8,"21-22/2","Hata1")))))))),
IF(#REF!+BM39=2019,
IF(#REF!=1,"19-20/1",
IF(#REF!=2,"19-20/2",
IF(#REF!=3,"20-21/1",
IF(#REF!=4,"20-21/2",
IF(#REF!=5,"21-22/1",
IF(#REF!=6,"21-22/2",
IF(#REF!=7,"22-23/1",
IF(#REF!=8,"22-23/2","Hata2")))))))),
IF(#REF!+BM39=2020,
IF(#REF!=1,"20-21/1",
IF(#REF!=2,"20-21/2",
IF(#REF!=3,"21-22/1",
IF(#REF!=4,"21-22/2",
IF(#REF!=5,"22-23/1",
IF(#REF!=6,"22-23/2",
IF(#REF!=7,"23-24/1",
IF(#REF!=8,"23-24/2","Hata3")))))))),
IF(#REF!+BM39=2021,
IF(#REF!=1,"21-22/1",
IF(#REF!=2,"21-22/2",
IF(#REF!=3,"22-23/1",
IF(#REF!=4,"22-23/2",
IF(#REF!=5,"23-24/1",
IF(#REF!=6,"23-24/2",
IF(#REF!=7,"24-25/1",
IF(#REF!=8,"24-25/2","Hata4")))))))),
IF(#REF!+BM39=2022,
IF(#REF!=1,"22-23/1",
IF(#REF!=2,"22-23/2",
IF(#REF!=3,"23-24/1",
IF(#REF!=4,"23-24/2",
IF(#REF!=5,"24-25/1",
IF(#REF!=6,"24-25/2",
IF(#REF!=7,"25-26/1",
IF(#REF!=8,"25-26/2","Hata5")))))))),
IF(#REF!+BM39=2023,
IF(#REF!=1,"23-24/1",
IF(#REF!=2,"23-24/2",
IF(#REF!=3,"24-25/1",
IF(#REF!=4,"24-25/2",
IF(#REF!=5,"25-26/1",
IF(#REF!=6,"25-26/2",
IF(#REF!=7,"26-27/1",
IF(#REF!=8,"26-27/2","Hata6")))))))),
)))))),
IF(BE39="T",
IF(#REF!+BM39=2018,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9" s="1" t="s">
        <v>59</v>
      </c>
      <c r="J39" s="1">
        <v>4234786</v>
      </c>
      <c r="L39" s="2">
        <v>3476</v>
      </c>
      <c r="N39" s="2">
        <v>5</v>
      </c>
      <c r="O39" s="6">
        <f t="shared" si="0"/>
        <v>3.5</v>
      </c>
      <c r="P39" s="2">
        <f t="shared" si="1"/>
        <v>4</v>
      </c>
      <c r="Q39" s="2">
        <v>3</v>
      </c>
      <c r="R39" s="2">
        <v>1</v>
      </c>
      <c r="S39" s="2">
        <v>0</v>
      </c>
      <c r="X39" s="3">
        <v>2</v>
      </c>
      <c r="Y39" s="1">
        <f>VLOOKUP(X39,[6]ölçme_sistemleri!I:L,2,FALSE)</f>
        <v>0</v>
      </c>
      <c r="Z39" s="1">
        <f>VLOOKUP(X39,[6]ölçme_sistemleri!I:L,3,FALSE)</f>
        <v>2</v>
      </c>
      <c r="AA39" s="1">
        <f>VLOOKUP(X39,[6]ölçme_sistemleri!I:L,4,FALSE)</f>
        <v>1</v>
      </c>
      <c r="AB39" s="1">
        <f>$O39*[6]ölçme_sistemleri!$J$13</f>
        <v>3.5</v>
      </c>
      <c r="AC39" s="1">
        <f>$O39*[6]ölçme_sistemleri!$K$13</f>
        <v>7</v>
      </c>
      <c r="AD39" s="1">
        <f>$O39*[6]ölçme_sistemleri!$L$13</f>
        <v>10.5</v>
      </c>
      <c r="AE39" s="1">
        <f t="shared" si="2"/>
        <v>0</v>
      </c>
      <c r="AF39" s="1">
        <f t="shared" si="3"/>
        <v>14</v>
      </c>
      <c r="AG39" s="1">
        <f t="shared" si="4"/>
        <v>10.5</v>
      </c>
      <c r="AH39" s="1">
        <f t="shared" si="5"/>
        <v>24.5</v>
      </c>
      <c r="AI39" s="1">
        <v>14</v>
      </c>
      <c r="AJ39" s="1">
        <f>VLOOKUP(X39,[6]ölçme_sistemleri!I:M,5,FALSE)</f>
        <v>2</v>
      </c>
      <c r="AK39" s="1">
        <f t="shared" si="6"/>
        <v>343</v>
      </c>
      <c r="AL39" s="1">
        <f t="shared" si="29"/>
        <v>42</v>
      </c>
      <c r="AM39" s="1">
        <f>VLOOKUP(X39,[6]ölçme_sistemleri!I:N,6,FALSE)</f>
        <v>3</v>
      </c>
      <c r="AN39" s="1">
        <v>2</v>
      </c>
      <c r="AO39" s="1">
        <f t="shared" si="7"/>
        <v>6</v>
      </c>
      <c r="AP39" s="1">
        <v>14</v>
      </c>
      <c r="AQ39" s="1">
        <f t="shared" si="8"/>
        <v>56</v>
      </c>
      <c r="AR39" s="1">
        <f t="shared" si="9"/>
        <v>128.5</v>
      </c>
      <c r="AS39" s="1">
        <f t="shared" si="30"/>
        <v>25</v>
      </c>
      <c r="AT39" s="1">
        <f t="shared" si="11"/>
        <v>5</v>
      </c>
      <c r="AU39" s="1">
        <f t="shared" si="12"/>
        <v>0</v>
      </c>
      <c r="AV39" s="1">
        <f t="shared" si="33"/>
        <v>0</v>
      </c>
      <c r="AW39" s="1">
        <f t="shared" si="34"/>
        <v>0</v>
      </c>
      <c r="AX39" s="1">
        <f t="shared" si="35"/>
        <v>0</v>
      </c>
      <c r="AY39" s="1">
        <f t="shared" si="16"/>
        <v>-24.5</v>
      </c>
      <c r="AZ39" s="1">
        <f t="shared" si="36"/>
        <v>0</v>
      </c>
      <c r="BA39" s="1">
        <f t="shared" si="18"/>
        <v>-42</v>
      </c>
      <c r="BB39" s="1">
        <f t="shared" si="31"/>
        <v>0</v>
      </c>
      <c r="BC39" s="1">
        <f t="shared" si="20"/>
        <v>-6</v>
      </c>
      <c r="BD39" s="1">
        <f t="shared" si="21"/>
        <v>0</v>
      </c>
      <c r="BE39" s="1" t="s">
        <v>65</v>
      </c>
      <c r="BF39" s="1">
        <f t="shared" si="37"/>
        <v>49</v>
      </c>
      <c r="BG39" s="1">
        <f t="shared" si="32"/>
        <v>49</v>
      </c>
      <c r="BH39" s="1">
        <f t="shared" si="24"/>
        <v>2</v>
      </c>
      <c r="BI39" s="1" t="e">
        <f>IF(BH39-#REF!=0,"DOĞRU","YANLIŞ")</f>
        <v>#REF!</v>
      </c>
      <c r="BJ39" s="1" t="e">
        <f>#REF!-BH39</f>
        <v>#REF!</v>
      </c>
      <c r="BK39" s="1">
        <v>0</v>
      </c>
      <c r="BM39" s="1">
        <v>0</v>
      </c>
      <c r="BO39" s="1">
        <v>2</v>
      </c>
      <c r="BT39" s="8">
        <f t="shared" si="38"/>
        <v>14</v>
      </c>
      <c r="BU39" s="9"/>
      <c r="BV39" s="10"/>
      <c r="BW39" s="11"/>
      <c r="BX39" s="11"/>
      <c r="BY39" s="11"/>
      <c r="BZ39" s="11"/>
      <c r="CA39" s="11"/>
      <c r="CB39" s="12"/>
      <c r="CC39" s="13"/>
      <c r="CD39" s="14"/>
      <c r="CL39" s="11"/>
      <c r="CM39" s="11"/>
      <c r="CN39" s="11"/>
      <c r="CO39" s="11"/>
      <c r="CP39" s="11"/>
      <c r="CQ39" s="54"/>
      <c r="CR39" s="46"/>
      <c r="CS39" s="48"/>
      <c r="CT39" s="48"/>
      <c r="CU39" s="48"/>
      <c r="CV39" s="48"/>
      <c r="CW39" s="49"/>
      <c r="CX39" s="49"/>
    </row>
    <row r="40" spans="1:102" hidden="1" x14ac:dyDescent="0.25">
      <c r="A40" s="1" t="s">
        <v>414</v>
      </c>
      <c r="B40" s="1" t="s">
        <v>415</v>
      </c>
      <c r="C40" s="1" t="s">
        <v>415</v>
      </c>
      <c r="D40" s="2" t="s">
        <v>63</v>
      </c>
      <c r="E40" s="2" t="s">
        <v>63</v>
      </c>
      <c r="F40" s="3" t="e">
        <f>IF(BE40="S",
IF(#REF!+BM40=2018,
IF(#REF!=1,"18-19/1",
IF(#REF!=2,"18-19/2",
IF(#REF!=3,"19-20/1",
IF(#REF!=4,"19-20/2",
IF(#REF!=5,"20-21/1",
IF(#REF!=6,"20-21/2",
IF(#REF!=7,"21-22/1",
IF(#REF!=8,"21-22/2","Hata1")))))))),
IF(#REF!+BM40=2019,
IF(#REF!=1,"19-20/1",
IF(#REF!=2,"19-20/2",
IF(#REF!=3,"20-21/1",
IF(#REF!=4,"20-21/2",
IF(#REF!=5,"21-22/1",
IF(#REF!=6,"21-22/2",
IF(#REF!=7,"22-23/1",
IF(#REF!=8,"22-23/2","Hata2")))))))),
IF(#REF!+BM40=2020,
IF(#REF!=1,"20-21/1",
IF(#REF!=2,"20-21/2",
IF(#REF!=3,"21-22/1",
IF(#REF!=4,"21-22/2",
IF(#REF!=5,"22-23/1",
IF(#REF!=6,"22-23/2",
IF(#REF!=7,"23-24/1",
IF(#REF!=8,"23-24/2","Hata3")))))))),
IF(#REF!+BM40=2021,
IF(#REF!=1,"21-22/1",
IF(#REF!=2,"21-22/2",
IF(#REF!=3,"22-23/1",
IF(#REF!=4,"22-23/2",
IF(#REF!=5,"23-24/1",
IF(#REF!=6,"23-24/2",
IF(#REF!=7,"24-25/1",
IF(#REF!=8,"24-25/2","Hata4")))))))),
IF(#REF!+BM40=2022,
IF(#REF!=1,"22-23/1",
IF(#REF!=2,"22-23/2",
IF(#REF!=3,"23-24/1",
IF(#REF!=4,"23-24/2",
IF(#REF!=5,"24-25/1",
IF(#REF!=6,"24-25/2",
IF(#REF!=7,"25-26/1",
IF(#REF!=8,"25-26/2","Hata5")))))))),
IF(#REF!+BM40=2023,
IF(#REF!=1,"23-24/1",
IF(#REF!=2,"23-24/2",
IF(#REF!=3,"24-25/1",
IF(#REF!=4,"24-25/2",
IF(#REF!=5,"25-26/1",
IF(#REF!=6,"25-26/2",
IF(#REF!=7,"26-27/1",
IF(#REF!=8,"26-27/2","Hata6")))))))),
)))))),
IF(BE40="T",
IF(#REF!+BM40=2018,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0" s="1" t="s">
        <v>59</v>
      </c>
      <c r="J40" s="1">
        <v>4234786</v>
      </c>
      <c r="L40" s="2">
        <v>3475</v>
      </c>
      <c r="N40" s="2">
        <v>5</v>
      </c>
      <c r="O40" s="6">
        <f t="shared" si="0"/>
        <v>3.5</v>
      </c>
      <c r="P40" s="2">
        <f t="shared" si="1"/>
        <v>4</v>
      </c>
      <c r="Q40" s="2">
        <v>3</v>
      </c>
      <c r="R40" s="2">
        <v>1</v>
      </c>
      <c r="S40" s="2">
        <v>0</v>
      </c>
      <c r="X40" s="3">
        <v>2</v>
      </c>
      <c r="Y40" s="1">
        <f>VLOOKUP(X40,[8]ölçme_sistemleri!I:L,2,FALSE)</f>
        <v>0</v>
      </c>
      <c r="Z40" s="1">
        <f>VLOOKUP(X40,[8]ölçme_sistemleri!I:L,3,FALSE)</f>
        <v>2</v>
      </c>
      <c r="AA40" s="1">
        <f>VLOOKUP(X40,[8]ölçme_sistemleri!I:L,4,FALSE)</f>
        <v>1</v>
      </c>
      <c r="AB40" s="1">
        <f>$O40*[8]ölçme_sistemleri!$J$13</f>
        <v>3.5</v>
      </c>
      <c r="AC40" s="1">
        <f>$O40*[8]ölçme_sistemleri!$K$13</f>
        <v>7</v>
      </c>
      <c r="AD40" s="1">
        <f>$O40*[8]ölçme_sistemleri!$L$13</f>
        <v>10.5</v>
      </c>
      <c r="AE40" s="1">
        <f t="shared" si="2"/>
        <v>0</v>
      </c>
      <c r="AF40" s="1">
        <f t="shared" si="3"/>
        <v>14</v>
      </c>
      <c r="AG40" s="1">
        <f t="shared" si="4"/>
        <v>10.5</v>
      </c>
      <c r="AH40" s="1">
        <f t="shared" si="5"/>
        <v>24.5</v>
      </c>
      <c r="AI40" s="1">
        <v>14</v>
      </c>
      <c r="AJ40" s="1">
        <f>VLOOKUP(X40,[8]ölçme_sistemleri!I:M,5,FALSE)</f>
        <v>2</v>
      </c>
      <c r="AK40" s="1">
        <f t="shared" si="6"/>
        <v>343</v>
      </c>
      <c r="AL40" s="1">
        <v>42</v>
      </c>
      <c r="AM40" s="1">
        <f>VLOOKUP(X40,[8]ölçme_sistemleri!I:N,6,FALSE)</f>
        <v>3</v>
      </c>
      <c r="AN40" s="1">
        <v>2</v>
      </c>
      <c r="AO40" s="1">
        <f t="shared" si="7"/>
        <v>6</v>
      </c>
      <c r="AP40" s="1">
        <v>14</v>
      </c>
      <c r="AQ40" s="1">
        <f t="shared" si="8"/>
        <v>56</v>
      </c>
      <c r="AR40" s="1">
        <f t="shared" si="9"/>
        <v>128.5</v>
      </c>
      <c r="AS40" s="1">
        <f t="shared" si="30"/>
        <v>25</v>
      </c>
      <c r="AT40" s="1">
        <f t="shared" si="11"/>
        <v>5</v>
      </c>
      <c r="AU40" s="1">
        <f t="shared" si="12"/>
        <v>0</v>
      </c>
      <c r="AV40" s="1">
        <f t="shared" si="33"/>
        <v>0</v>
      </c>
      <c r="AW40" s="1">
        <f t="shared" si="34"/>
        <v>0</v>
      </c>
      <c r="AX40" s="1">
        <f t="shared" si="35"/>
        <v>0</v>
      </c>
      <c r="AY40" s="1">
        <f t="shared" si="16"/>
        <v>-24.5</v>
      </c>
      <c r="AZ40" s="1">
        <f t="shared" si="36"/>
        <v>0</v>
      </c>
      <c r="BA40" s="1">
        <f t="shared" si="18"/>
        <v>-42</v>
      </c>
      <c r="BB40" s="1">
        <f t="shared" si="31"/>
        <v>0</v>
      </c>
      <c r="BC40" s="1">
        <f t="shared" si="20"/>
        <v>-6</v>
      </c>
      <c r="BD40" s="1">
        <f t="shared" si="21"/>
        <v>0</v>
      </c>
      <c r="BE40" s="1" t="s">
        <v>65</v>
      </c>
      <c r="BF40" s="1">
        <f t="shared" si="37"/>
        <v>49</v>
      </c>
      <c r="BG40" s="1">
        <f t="shared" si="32"/>
        <v>49</v>
      </c>
      <c r="BH40" s="1">
        <f t="shared" si="24"/>
        <v>2</v>
      </c>
      <c r="BI40" s="1" t="e">
        <f>IF(BH40-#REF!=0,"DOĞRU","YANLIŞ")</f>
        <v>#REF!</v>
      </c>
      <c r="BJ40" s="1" t="e">
        <f>#REF!-BH40</f>
        <v>#REF!</v>
      </c>
      <c r="BK40" s="1">
        <v>0</v>
      </c>
      <c r="BM40" s="1">
        <v>0</v>
      </c>
      <c r="BO40" s="1">
        <v>4</v>
      </c>
      <c r="BT40" s="8">
        <f t="shared" si="38"/>
        <v>14</v>
      </c>
      <c r="BU40" s="9"/>
      <c r="BV40" s="10"/>
      <c r="BW40" s="11"/>
      <c r="BX40" s="11"/>
      <c r="BY40" s="11"/>
      <c r="BZ40" s="11"/>
      <c r="CA40" s="11"/>
      <c r="CB40" s="12"/>
      <c r="CC40" s="13"/>
      <c r="CD40" s="14"/>
      <c r="CL40" s="11"/>
      <c r="CM40" s="11"/>
      <c r="CN40" s="11"/>
      <c r="CO40" s="11"/>
      <c r="CP40" s="11"/>
      <c r="CQ40" s="54"/>
      <c r="CR40" s="46"/>
      <c r="CS40" s="54"/>
      <c r="CT40" s="48"/>
      <c r="CU40" s="48"/>
      <c r="CV40" s="48"/>
      <c r="CW40" s="49"/>
      <c r="CX40" s="49"/>
    </row>
    <row r="41" spans="1:102" hidden="1" x14ac:dyDescent="0.25">
      <c r="A41" s="1" t="s">
        <v>76</v>
      </c>
      <c r="B41" s="1" t="s">
        <v>77</v>
      </c>
      <c r="C41" s="1" t="s">
        <v>77</v>
      </c>
      <c r="D41" s="2" t="s">
        <v>58</v>
      </c>
      <c r="E41" s="2" t="s">
        <v>58</v>
      </c>
      <c r="F41" s="3" t="e">
        <f>IF(BE41="S",
IF(#REF!+BM41=2018,
IF(#REF!=1,"18-19/1",
IF(#REF!=2,"18-19/2",
IF(#REF!=3,"19-20/1",
IF(#REF!=4,"19-20/2",
IF(#REF!=5,"20-21/1",
IF(#REF!=6,"20-21/2",
IF(#REF!=7,"21-22/1",
IF(#REF!=8,"21-22/2","Hata1")))))))),
IF(#REF!+BM41=2019,
IF(#REF!=1,"19-20/1",
IF(#REF!=2,"19-20/2",
IF(#REF!=3,"20-21/1",
IF(#REF!=4,"20-21/2",
IF(#REF!=5,"21-22/1",
IF(#REF!=6,"21-22/2",
IF(#REF!=7,"22-23/1",
IF(#REF!=8,"22-23/2","Hata2")))))))),
IF(#REF!+BM41=2020,
IF(#REF!=1,"20-21/1",
IF(#REF!=2,"20-21/2",
IF(#REF!=3,"21-22/1",
IF(#REF!=4,"21-22/2",
IF(#REF!=5,"22-23/1",
IF(#REF!=6,"22-23/2",
IF(#REF!=7,"23-24/1",
IF(#REF!=8,"23-24/2","Hata3")))))))),
IF(#REF!+BM41=2021,
IF(#REF!=1,"21-22/1",
IF(#REF!=2,"21-22/2",
IF(#REF!=3,"22-23/1",
IF(#REF!=4,"22-23/2",
IF(#REF!=5,"23-24/1",
IF(#REF!=6,"23-24/2",
IF(#REF!=7,"24-25/1",
IF(#REF!=8,"24-25/2","Hata4")))))))),
IF(#REF!+BM41=2022,
IF(#REF!=1,"22-23/1",
IF(#REF!=2,"22-23/2",
IF(#REF!=3,"23-24/1",
IF(#REF!=4,"23-24/2",
IF(#REF!=5,"24-25/1",
IF(#REF!=6,"24-25/2",
IF(#REF!=7,"25-26/1",
IF(#REF!=8,"25-26/2","Hata5")))))))),
IF(#REF!+BM41=2023,
IF(#REF!=1,"23-24/1",
IF(#REF!=2,"23-24/2",
IF(#REF!=3,"24-25/1",
IF(#REF!=4,"24-25/2",
IF(#REF!=5,"25-26/1",
IF(#REF!=6,"25-26/2",
IF(#REF!=7,"26-27/1",
IF(#REF!=8,"26-27/2","Hata6")))))))),
)))))),
IF(BE41="T",
IF(#REF!+BM41=2018,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1" s="1" t="s">
        <v>59</v>
      </c>
      <c r="J41" s="1">
        <v>4234786</v>
      </c>
      <c r="L41" s="2">
        <v>3403</v>
      </c>
      <c r="N41" s="2">
        <v>4</v>
      </c>
      <c r="O41" s="6">
        <f t="shared" si="0"/>
        <v>2</v>
      </c>
      <c r="P41" s="2">
        <f t="shared" si="1"/>
        <v>2</v>
      </c>
      <c r="Q41" s="2">
        <v>0</v>
      </c>
      <c r="R41" s="2">
        <v>0</v>
      </c>
      <c r="S41" s="2">
        <v>2</v>
      </c>
      <c r="X41" s="3">
        <v>7</v>
      </c>
      <c r="Y41" s="1">
        <f>VLOOKUP($X41,[5]ölçme_sistemleri!I$1:L$65536,2,FALSE)</f>
        <v>0</v>
      </c>
      <c r="Z41" s="1">
        <f>VLOOKUP($X41,[5]ölçme_sistemleri!I$1:L$65536,3,FALSE)</f>
        <v>1</v>
      </c>
      <c r="AA41" s="1">
        <f>VLOOKUP($X41,[5]ölçme_sistemleri!I$1:L$65536,4,FALSE)</f>
        <v>1</v>
      </c>
      <c r="AB41" s="1">
        <f>$O41*[5]ölçme_sistemleri!J$13</f>
        <v>2</v>
      </c>
      <c r="AC41" s="1">
        <f>$O41*[5]ölçme_sistemleri!K$13</f>
        <v>4</v>
      </c>
      <c r="AD41" s="1">
        <f>$O41*[5]ölçme_sistemleri!L$13</f>
        <v>6</v>
      </c>
      <c r="AE41" s="1">
        <f t="shared" si="2"/>
        <v>0</v>
      </c>
      <c r="AF41" s="1">
        <f t="shared" si="3"/>
        <v>4</v>
      </c>
      <c r="AG41" s="1">
        <f t="shared" si="4"/>
        <v>6</v>
      </c>
      <c r="AH41" s="1">
        <f t="shared" si="5"/>
        <v>10</v>
      </c>
      <c r="AI41" s="1">
        <v>14</v>
      </c>
      <c r="AJ41" s="1">
        <f>VLOOKUP(X41,[5]ölçme_sistemleri!I$1:M$65536,5,FALSE)</f>
        <v>1</v>
      </c>
      <c r="AK41" s="1">
        <f t="shared" si="6"/>
        <v>140</v>
      </c>
      <c r="AL41" s="1">
        <f>AI41*5</f>
        <v>70</v>
      </c>
      <c r="AM41" s="1">
        <f>VLOOKUP(X41,[5]ölçme_sistemleri!I$1:N$65536,6,FALSE)</f>
        <v>2</v>
      </c>
      <c r="AN41" s="1">
        <v>2</v>
      </c>
      <c r="AO41" s="1">
        <f t="shared" si="7"/>
        <v>4</v>
      </c>
      <c r="AP41" s="1">
        <v>14</v>
      </c>
      <c r="AQ41" s="1">
        <f t="shared" si="8"/>
        <v>28</v>
      </c>
      <c r="AR41" s="1">
        <f t="shared" si="9"/>
        <v>112</v>
      </c>
      <c r="AS41" s="1">
        <f>IF(BE41="s",25,30)</f>
        <v>25</v>
      </c>
      <c r="AT41" s="1">
        <f t="shared" si="11"/>
        <v>4</v>
      </c>
      <c r="AU41" s="1">
        <f t="shared" si="12"/>
        <v>0</v>
      </c>
      <c r="AV41" s="1">
        <f t="shared" si="33"/>
        <v>0</v>
      </c>
      <c r="AW41" s="1">
        <f t="shared" si="34"/>
        <v>0</v>
      </c>
      <c r="AX41" s="1">
        <f t="shared" si="35"/>
        <v>0</v>
      </c>
      <c r="AY41" s="1">
        <f t="shared" si="16"/>
        <v>-10</v>
      </c>
      <c r="AZ41" s="1">
        <f t="shared" si="36"/>
        <v>0</v>
      </c>
      <c r="BA41" s="1">
        <f t="shared" si="18"/>
        <v>-70</v>
      </c>
      <c r="BB41" s="1">
        <f t="shared" si="31"/>
        <v>0</v>
      </c>
      <c r="BC41" s="1">
        <f t="shared" si="20"/>
        <v>-4</v>
      </c>
      <c r="BD41" s="1">
        <f t="shared" si="21"/>
        <v>0</v>
      </c>
      <c r="BE41" s="1" t="s">
        <v>65</v>
      </c>
      <c r="BF41" s="1">
        <f t="shared" si="37"/>
        <v>28</v>
      </c>
      <c r="BG41" s="1">
        <f t="shared" si="32"/>
        <v>28</v>
      </c>
      <c r="BH41" s="1">
        <f t="shared" si="24"/>
        <v>1</v>
      </c>
      <c r="BI41" s="1" t="e">
        <f>IF(BH41-#REF!=0,"DOĞRU","YANLIŞ")</f>
        <v>#REF!</v>
      </c>
      <c r="BJ41" s="1" t="e">
        <f>#REF!-BH41</f>
        <v>#REF!</v>
      </c>
      <c r="BK41" s="1">
        <v>0</v>
      </c>
      <c r="BM41" s="1">
        <v>0</v>
      </c>
      <c r="BO41" s="1">
        <v>0</v>
      </c>
      <c r="BT41" s="8">
        <f t="shared" si="38"/>
        <v>0</v>
      </c>
      <c r="BU41" s="9"/>
      <c r="BV41" s="10"/>
      <c r="BW41" s="11"/>
      <c r="BX41" s="11"/>
      <c r="BY41" s="11"/>
      <c r="BZ41" s="11"/>
      <c r="CA41" s="11"/>
      <c r="CB41" s="12"/>
      <c r="CC41" s="13"/>
      <c r="CD41" s="14"/>
      <c r="CL41" s="11"/>
      <c r="CM41" s="11"/>
      <c r="CN41" s="11"/>
      <c r="CO41" s="11"/>
      <c r="CP41" s="11"/>
      <c r="CQ41" s="46"/>
      <c r="CR41" s="46"/>
      <c r="CS41" s="48"/>
      <c r="CT41" s="48"/>
      <c r="CU41" s="48"/>
      <c r="CV41" s="48"/>
      <c r="CW41" s="49"/>
      <c r="CX41" s="49"/>
    </row>
    <row r="42" spans="1:102" hidden="1" x14ac:dyDescent="0.25">
      <c r="A42" s="1" t="s">
        <v>402</v>
      </c>
      <c r="B42" s="1" t="s">
        <v>403</v>
      </c>
      <c r="C42" s="1" t="s">
        <v>403</v>
      </c>
      <c r="D42" s="2" t="s">
        <v>63</v>
      </c>
      <c r="E42" s="2" t="s">
        <v>63</v>
      </c>
      <c r="F42" s="3" t="e">
        <f>IF(BE42="S",
IF(#REF!+BM42=2018,
IF(#REF!=1,"18-19/1",
IF(#REF!=2,"18-19/2",
IF(#REF!=3,"19-20/1",
IF(#REF!=4,"19-20/2",
IF(#REF!=5,"20-21/1",
IF(#REF!=6,"20-21/2",
IF(#REF!=7,"21-22/1",
IF(#REF!=8,"21-22/2","Hata1")))))))),
IF(#REF!+BM42=2019,
IF(#REF!=1,"19-20/1",
IF(#REF!=2,"19-20/2",
IF(#REF!=3,"20-21/1",
IF(#REF!=4,"20-21/2",
IF(#REF!=5,"21-22/1",
IF(#REF!=6,"21-22/2",
IF(#REF!=7,"22-23/1",
IF(#REF!=8,"22-23/2","Hata2")))))))),
IF(#REF!+BM42=2020,
IF(#REF!=1,"20-21/1",
IF(#REF!=2,"20-21/2",
IF(#REF!=3,"21-22/1",
IF(#REF!=4,"21-22/2",
IF(#REF!=5,"22-23/1",
IF(#REF!=6,"22-23/2",
IF(#REF!=7,"23-24/1",
IF(#REF!=8,"23-24/2","Hata3")))))))),
IF(#REF!+BM42=2021,
IF(#REF!=1,"21-22/1",
IF(#REF!=2,"21-22/2",
IF(#REF!=3,"22-23/1",
IF(#REF!=4,"22-23/2",
IF(#REF!=5,"23-24/1",
IF(#REF!=6,"23-24/2",
IF(#REF!=7,"24-25/1",
IF(#REF!=8,"24-25/2","Hata4")))))))),
IF(#REF!+BM42=2022,
IF(#REF!=1,"22-23/1",
IF(#REF!=2,"22-23/2",
IF(#REF!=3,"23-24/1",
IF(#REF!=4,"23-24/2",
IF(#REF!=5,"24-25/1",
IF(#REF!=6,"24-25/2",
IF(#REF!=7,"25-26/1",
IF(#REF!=8,"25-26/2","Hata5")))))))),
IF(#REF!+BM42=2023,
IF(#REF!=1,"23-24/1",
IF(#REF!=2,"23-24/2",
IF(#REF!=3,"24-25/1",
IF(#REF!=4,"24-25/2",
IF(#REF!=5,"25-26/1",
IF(#REF!=6,"25-26/2",
IF(#REF!=7,"26-27/1",
IF(#REF!=8,"26-27/2","Hata6")))))))),
)))))),
IF(BE42="T",
IF(#REF!+BM42=2018,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2" s="1" t="s">
        <v>59</v>
      </c>
      <c r="J42" s="1">
        <v>4234786</v>
      </c>
      <c r="L42" s="2">
        <v>3474</v>
      </c>
      <c r="N42" s="2">
        <v>7</v>
      </c>
      <c r="O42" s="6">
        <f t="shared" si="0"/>
        <v>4</v>
      </c>
      <c r="P42" s="2">
        <f t="shared" si="1"/>
        <v>4</v>
      </c>
      <c r="Q42" s="2">
        <v>4</v>
      </c>
      <c r="R42" s="2">
        <v>0</v>
      </c>
      <c r="S42" s="2">
        <v>0</v>
      </c>
      <c r="X42" s="3">
        <v>2</v>
      </c>
      <c r="Y42" s="1">
        <f>VLOOKUP(X42,[8]ölçme_sistemleri!I:L,2,FALSE)</f>
        <v>0</v>
      </c>
      <c r="Z42" s="1">
        <f>VLOOKUP(X42,[8]ölçme_sistemleri!I:L,3,FALSE)</f>
        <v>2</v>
      </c>
      <c r="AA42" s="1">
        <f>VLOOKUP(X42,[8]ölçme_sistemleri!I:L,4,FALSE)</f>
        <v>1</v>
      </c>
      <c r="AB42" s="1">
        <f>$O42*[8]ölçme_sistemleri!$J$13</f>
        <v>4</v>
      </c>
      <c r="AC42" s="1">
        <f>$O42*[8]ölçme_sistemleri!$K$13</f>
        <v>8</v>
      </c>
      <c r="AD42" s="1">
        <f>$O42*[8]ölçme_sistemleri!$L$13</f>
        <v>12</v>
      </c>
      <c r="AE42" s="1">
        <f t="shared" si="2"/>
        <v>0</v>
      </c>
      <c r="AF42" s="1">
        <f t="shared" si="3"/>
        <v>16</v>
      </c>
      <c r="AG42" s="1">
        <f t="shared" si="4"/>
        <v>12</v>
      </c>
      <c r="AH42" s="1">
        <f t="shared" si="5"/>
        <v>28</v>
      </c>
      <c r="AI42" s="1">
        <v>14</v>
      </c>
      <c r="AJ42" s="1">
        <f>VLOOKUP(X42,[8]ölçme_sistemleri!I:M,5,FALSE)</f>
        <v>2</v>
      </c>
      <c r="AK42" s="1">
        <f t="shared" si="6"/>
        <v>392</v>
      </c>
      <c r="AL42" s="1">
        <f>AI42*6</f>
        <v>84</v>
      </c>
      <c r="AM42" s="1">
        <f>VLOOKUP(X42,[8]ölçme_sistemleri!I:N,6,FALSE)</f>
        <v>3</v>
      </c>
      <c r="AN42" s="1">
        <v>2</v>
      </c>
      <c r="AO42" s="1">
        <f t="shared" si="7"/>
        <v>6</v>
      </c>
      <c r="AP42" s="1">
        <v>14</v>
      </c>
      <c r="AQ42" s="1">
        <f t="shared" si="8"/>
        <v>56</v>
      </c>
      <c r="AR42" s="1">
        <f t="shared" si="9"/>
        <v>174</v>
      </c>
      <c r="AS42" s="1">
        <f>IF(BE42="s",25,25)</f>
        <v>25</v>
      </c>
      <c r="AT42" s="1">
        <f t="shared" si="11"/>
        <v>7</v>
      </c>
      <c r="AU42" s="1">
        <f t="shared" si="12"/>
        <v>0</v>
      </c>
      <c r="AV42" s="1">
        <f t="shared" si="33"/>
        <v>0</v>
      </c>
      <c r="AW42" s="1">
        <f t="shared" si="34"/>
        <v>0</v>
      </c>
      <c r="AX42" s="1">
        <f t="shared" si="35"/>
        <v>0</v>
      </c>
      <c r="AY42" s="1">
        <f t="shared" si="16"/>
        <v>-28</v>
      </c>
      <c r="AZ42" s="1">
        <f t="shared" si="36"/>
        <v>0</v>
      </c>
      <c r="BA42" s="1">
        <f t="shared" si="18"/>
        <v>-84</v>
      </c>
      <c r="BB42" s="1">
        <f t="shared" si="31"/>
        <v>0</v>
      </c>
      <c r="BC42" s="1">
        <f t="shared" si="20"/>
        <v>-6</v>
      </c>
      <c r="BD42" s="1">
        <f t="shared" si="21"/>
        <v>0</v>
      </c>
      <c r="BE42" s="1" t="s">
        <v>65</v>
      </c>
      <c r="BF42" s="1">
        <f t="shared" si="37"/>
        <v>56</v>
      </c>
      <c r="BG42" s="1">
        <f t="shared" si="32"/>
        <v>56</v>
      </c>
      <c r="BH42" s="1">
        <f t="shared" si="24"/>
        <v>2</v>
      </c>
      <c r="BI42" s="1" t="e">
        <f>IF(BH42-#REF!=0,"DOĞRU","YANLIŞ")</f>
        <v>#REF!</v>
      </c>
      <c r="BJ42" s="1" t="e">
        <f>#REF!-BH42</f>
        <v>#REF!</v>
      </c>
      <c r="BK42" s="1">
        <v>0</v>
      </c>
      <c r="BM42" s="1">
        <v>0</v>
      </c>
      <c r="BO42" s="1">
        <v>4</v>
      </c>
      <c r="BT42" s="8">
        <f t="shared" si="38"/>
        <v>0</v>
      </c>
      <c r="BU42" s="9"/>
      <c r="BV42" s="10"/>
      <c r="BW42" s="11"/>
      <c r="BX42" s="11"/>
      <c r="BY42" s="11"/>
      <c r="BZ42" s="11"/>
      <c r="CA42" s="11"/>
      <c r="CB42" s="12"/>
      <c r="CC42" s="13"/>
      <c r="CD42" s="14"/>
      <c r="CL42" s="11"/>
      <c r="CM42" s="11"/>
      <c r="CN42" s="11"/>
      <c r="CO42" s="11"/>
      <c r="CP42" s="11"/>
      <c r="CQ42" s="46"/>
      <c r="CR42" s="46"/>
      <c r="CS42" s="48"/>
      <c r="CT42" s="48"/>
      <c r="CU42" s="48"/>
      <c r="CV42" s="48"/>
      <c r="CW42" s="49"/>
      <c r="CX42" s="49"/>
    </row>
    <row r="43" spans="1:102" hidden="1" x14ac:dyDescent="0.25">
      <c r="A43" s="1" t="s">
        <v>416</v>
      </c>
      <c r="B43" s="1" t="s">
        <v>417</v>
      </c>
      <c r="C43" s="1" t="s">
        <v>417</v>
      </c>
      <c r="D43" s="2" t="s">
        <v>58</v>
      </c>
      <c r="E43" s="2" t="s">
        <v>58</v>
      </c>
      <c r="F43" s="3" t="e">
        <f>IF(BE43="S",
IF(#REF!+BM43=2018,
IF(#REF!=1,"18-19/1",
IF(#REF!=2,"18-19/2",
IF(#REF!=3,"19-20/1",
IF(#REF!=4,"19-20/2",
IF(#REF!=5,"20-21/1",
IF(#REF!=6,"20-21/2",
IF(#REF!=7,"21-22/1",
IF(#REF!=8,"21-22/2","Hata1")))))))),
IF(#REF!+BM43=2019,
IF(#REF!=1,"19-20/1",
IF(#REF!=2,"19-20/2",
IF(#REF!=3,"20-21/1",
IF(#REF!=4,"20-21/2",
IF(#REF!=5,"21-22/1",
IF(#REF!=6,"21-22/2",
IF(#REF!=7,"22-23/1",
IF(#REF!=8,"22-23/2","Hata2")))))))),
IF(#REF!+BM43=2020,
IF(#REF!=1,"20-21/1",
IF(#REF!=2,"20-21/2",
IF(#REF!=3,"21-22/1",
IF(#REF!=4,"21-22/2",
IF(#REF!=5,"22-23/1",
IF(#REF!=6,"22-23/2",
IF(#REF!=7,"23-24/1",
IF(#REF!=8,"23-24/2","Hata3")))))))),
IF(#REF!+BM43=2021,
IF(#REF!=1,"21-22/1",
IF(#REF!=2,"21-22/2",
IF(#REF!=3,"22-23/1",
IF(#REF!=4,"22-23/2",
IF(#REF!=5,"23-24/1",
IF(#REF!=6,"23-24/2",
IF(#REF!=7,"24-25/1",
IF(#REF!=8,"24-25/2","Hata4")))))))),
IF(#REF!+BM43=2022,
IF(#REF!=1,"22-23/1",
IF(#REF!=2,"22-23/2",
IF(#REF!=3,"23-24/1",
IF(#REF!=4,"23-24/2",
IF(#REF!=5,"24-25/1",
IF(#REF!=6,"24-25/2",
IF(#REF!=7,"25-26/1",
IF(#REF!=8,"25-26/2","Hata5")))))))),
IF(#REF!+BM43=2023,
IF(#REF!=1,"23-24/1",
IF(#REF!=2,"23-24/2",
IF(#REF!=3,"24-25/1",
IF(#REF!=4,"24-25/2",
IF(#REF!=5,"25-26/1",
IF(#REF!=6,"25-26/2",
IF(#REF!=7,"26-27/1",
IF(#REF!=8,"26-27/2","Hata6")))))))),
)))))),
IF(BE43="T",
IF(#REF!+BM43=2018,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3" s="1" t="s">
        <v>59</v>
      </c>
      <c r="J43" s="1">
        <v>4234786</v>
      </c>
      <c r="L43" s="2">
        <v>3477</v>
      </c>
      <c r="N43" s="2">
        <v>4</v>
      </c>
      <c r="O43" s="6">
        <f t="shared" si="0"/>
        <v>3</v>
      </c>
      <c r="P43" s="2">
        <f t="shared" si="1"/>
        <v>3</v>
      </c>
      <c r="Q43" s="2">
        <v>0</v>
      </c>
      <c r="R43" s="2">
        <v>0</v>
      </c>
      <c r="S43" s="2">
        <v>3</v>
      </c>
      <c r="X43" s="3">
        <v>2</v>
      </c>
      <c r="Y43" s="1">
        <f>VLOOKUP(X43,[6]ölçme_sistemleri!I:L,2,FALSE)</f>
        <v>0</v>
      </c>
      <c r="Z43" s="1">
        <f>VLOOKUP(X43,[6]ölçme_sistemleri!I:L,3,FALSE)</f>
        <v>2</v>
      </c>
      <c r="AA43" s="1">
        <f>VLOOKUP(X43,[6]ölçme_sistemleri!I:L,4,FALSE)</f>
        <v>1</v>
      </c>
      <c r="AB43" s="1">
        <f>$O43*[6]ölçme_sistemleri!$J$13</f>
        <v>3</v>
      </c>
      <c r="AC43" s="1">
        <f>$O43*[6]ölçme_sistemleri!$K$13</f>
        <v>6</v>
      </c>
      <c r="AD43" s="1">
        <f>$O43*[6]ölçme_sistemleri!$L$13</f>
        <v>9</v>
      </c>
      <c r="AE43" s="1">
        <f t="shared" si="2"/>
        <v>0</v>
      </c>
      <c r="AF43" s="1">
        <f t="shared" si="3"/>
        <v>12</v>
      </c>
      <c r="AG43" s="1">
        <f t="shared" si="4"/>
        <v>9</v>
      </c>
      <c r="AH43" s="1">
        <f t="shared" si="5"/>
        <v>21</v>
      </c>
      <c r="AI43" s="1">
        <v>14</v>
      </c>
      <c r="AJ43" s="1">
        <f>VLOOKUP(X43,[6]ölçme_sistemleri!I:M,5,FALSE)</f>
        <v>2</v>
      </c>
      <c r="AK43" s="1">
        <f t="shared" si="6"/>
        <v>294</v>
      </c>
      <c r="AL43" s="1">
        <f>(Q43+S43)*AI43</f>
        <v>42</v>
      </c>
      <c r="AM43" s="1">
        <f>VLOOKUP(X43,[6]ölçme_sistemleri!I:N,6,FALSE)</f>
        <v>3</v>
      </c>
      <c r="AN43" s="1">
        <v>2</v>
      </c>
      <c r="AO43" s="1">
        <f t="shared" si="7"/>
        <v>6</v>
      </c>
      <c r="AP43" s="1">
        <v>14</v>
      </c>
      <c r="AQ43" s="1">
        <f t="shared" si="8"/>
        <v>42</v>
      </c>
      <c r="AR43" s="1">
        <f t="shared" si="9"/>
        <v>111</v>
      </c>
      <c r="AS43" s="1">
        <f>IF(BE43="s",25,25)</f>
        <v>25</v>
      </c>
      <c r="AT43" s="1">
        <f t="shared" si="11"/>
        <v>4</v>
      </c>
      <c r="AU43" s="1">
        <f t="shared" si="12"/>
        <v>0</v>
      </c>
      <c r="AV43" s="1">
        <f t="shared" si="33"/>
        <v>0</v>
      </c>
      <c r="AW43" s="1">
        <f t="shared" si="34"/>
        <v>0</v>
      </c>
      <c r="AX43" s="1">
        <f t="shared" si="35"/>
        <v>0</v>
      </c>
      <c r="AY43" s="1">
        <f t="shared" si="16"/>
        <v>-21</v>
      </c>
      <c r="AZ43" s="1">
        <f t="shared" si="36"/>
        <v>0</v>
      </c>
      <c r="BA43" s="1">
        <f t="shared" si="18"/>
        <v>-42</v>
      </c>
      <c r="BB43" s="1">
        <f t="shared" si="31"/>
        <v>0</v>
      </c>
      <c r="BC43" s="1">
        <f t="shared" si="20"/>
        <v>-6</v>
      </c>
      <c r="BD43" s="1">
        <f t="shared" si="21"/>
        <v>0</v>
      </c>
      <c r="BE43" s="1" t="s">
        <v>65</v>
      </c>
      <c r="BF43" s="1">
        <f t="shared" si="37"/>
        <v>42</v>
      </c>
      <c r="BG43" s="1">
        <f t="shared" si="32"/>
        <v>42</v>
      </c>
      <c r="BH43" s="1">
        <f t="shared" si="24"/>
        <v>1</v>
      </c>
      <c r="BI43" s="1" t="e">
        <f>IF(BH43-#REF!=0,"DOĞRU","YANLIŞ")</f>
        <v>#REF!</v>
      </c>
      <c r="BJ43" s="1" t="e">
        <f>#REF!-BH43</f>
        <v>#REF!</v>
      </c>
      <c r="BK43" s="1">
        <v>0</v>
      </c>
      <c r="BM43" s="1">
        <v>0</v>
      </c>
      <c r="BO43" s="1">
        <v>4</v>
      </c>
      <c r="BT43" s="8">
        <f t="shared" si="38"/>
        <v>0</v>
      </c>
      <c r="BU43" s="9"/>
      <c r="BV43" s="10"/>
      <c r="BW43" s="11"/>
      <c r="BX43" s="11"/>
      <c r="BY43" s="11"/>
      <c r="BZ43" s="11"/>
      <c r="CA43" s="11"/>
      <c r="CB43" s="12"/>
      <c r="CC43" s="13"/>
      <c r="CD43" s="14"/>
      <c r="CL43" s="11"/>
      <c r="CM43" s="11"/>
      <c r="CN43" s="11"/>
      <c r="CO43" s="11"/>
      <c r="CP43" s="11"/>
      <c r="CQ43" s="49"/>
      <c r="CR43" s="46"/>
      <c r="CS43" s="49"/>
      <c r="CT43" s="48"/>
      <c r="CU43" s="49"/>
      <c r="CV43" s="48"/>
      <c r="CW43" s="49"/>
      <c r="CX43" s="49"/>
    </row>
    <row r="44" spans="1:102" hidden="1" x14ac:dyDescent="0.25">
      <c r="A44" s="1" t="s">
        <v>400</v>
      </c>
      <c r="B44" s="1" t="s">
        <v>401</v>
      </c>
      <c r="C44" s="1" t="s">
        <v>401</v>
      </c>
      <c r="D44" s="2" t="s">
        <v>63</v>
      </c>
      <c r="E44" s="2" t="s">
        <v>63</v>
      </c>
      <c r="F44" s="3" t="e">
        <f>IF(BE44="S",
IF(#REF!+BM44=2018,
IF(#REF!=1,"18-19/1",
IF(#REF!=2,"18-19/2",
IF(#REF!=3,"19-20/1",
IF(#REF!=4,"19-20/2",
IF(#REF!=5,"20-21/1",
IF(#REF!=6,"20-21/2",
IF(#REF!=7,"21-22/1",
IF(#REF!=8,"21-22/2","Hata1")))))))),
IF(#REF!+BM44=2019,
IF(#REF!=1,"19-20/1",
IF(#REF!=2,"19-20/2",
IF(#REF!=3,"20-21/1",
IF(#REF!=4,"20-21/2",
IF(#REF!=5,"21-22/1",
IF(#REF!=6,"21-22/2",
IF(#REF!=7,"22-23/1",
IF(#REF!=8,"22-23/2","Hata2")))))))),
IF(#REF!+BM44=2020,
IF(#REF!=1,"20-21/1",
IF(#REF!=2,"20-21/2",
IF(#REF!=3,"21-22/1",
IF(#REF!=4,"21-22/2",
IF(#REF!=5,"22-23/1",
IF(#REF!=6,"22-23/2",
IF(#REF!=7,"23-24/1",
IF(#REF!=8,"23-24/2","Hata3")))))))),
IF(#REF!+BM44=2021,
IF(#REF!=1,"21-22/1",
IF(#REF!=2,"21-22/2",
IF(#REF!=3,"22-23/1",
IF(#REF!=4,"22-23/2",
IF(#REF!=5,"23-24/1",
IF(#REF!=6,"23-24/2",
IF(#REF!=7,"24-25/1",
IF(#REF!=8,"24-25/2","Hata4")))))))),
IF(#REF!+BM44=2022,
IF(#REF!=1,"22-23/1",
IF(#REF!=2,"22-23/2",
IF(#REF!=3,"23-24/1",
IF(#REF!=4,"23-24/2",
IF(#REF!=5,"24-25/1",
IF(#REF!=6,"24-25/2",
IF(#REF!=7,"25-26/1",
IF(#REF!=8,"25-26/2","Hata5")))))))),
IF(#REF!+BM44=2023,
IF(#REF!=1,"23-24/1",
IF(#REF!=2,"23-24/2",
IF(#REF!=3,"24-25/1",
IF(#REF!=4,"24-25/2",
IF(#REF!=5,"25-26/1",
IF(#REF!=6,"25-26/2",
IF(#REF!=7,"26-27/1",
IF(#REF!=8,"26-27/2","Hata6")))))))),
)))))),
IF(BE44="T",
IF(#REF!+BM44=2018,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4" s="1" t="s">
        <v>59</v>
      </c>
      <c r="J44" s="1">
        <v>4234786</v>
      </c>
      <c r="L44" s="2">
        <v>3473</v>
      </c>
      <c r="N44" s="2">
        <v>5</v>
      </c>
      <c r="O44" s="6">
        <f t="shared" si="0"/>
        <v>2.5</v>
      </c>
      <c r="P44" s="2">
        <f t="shared" si="1"/>
        <v>3</v>
      </c>
      <c r="Q44" s="2">
        <v>2</v>
      </c>
      <c r="R44" s="2">
        <v>1</v>
      </c>
      <c r="S44" s="2">
        <v>0</v>
      </c>
      <c r="X44" s="3">
        <v>2</v>
      </c>
      <c r="Y44" s="1">
        <f>VLOOKUP(X44,[8]ölçme_sistemleri!I:L,2,FALSE)</f>
        <v>0</v>
      </c>
      <c r="Z44" s="1">
        <f>VLOOKUP(X44,[8]ölçme_sistemleri!I:L,3,FALSE)</f>
        <v>2</v>
      </c>
      <c r="AA44" s="1">
        <f>VLOOKUP(X44,[8]ölçme_sistemleri!I:L,4,FALSE)</f>
        <v>1</v>
      </c>
      <c r="AB44" s="1">
        <f>$O44*[8]ölçme_sistemleri!$J$13</f>
        <v>2.5</v>
      </c>
      <c r="AC44" s="1">
        <f>$O44*[8]ölçme_sistemleri!$K$13</f>
        <v>5</v>
      </c>
      <c r="AD44" s="1">
        <f>$O44*[8]ölçme_sistemleri!$L$13</f>
        <v>7.5</v>
      </c>
      <c r="AE44" s="1">
        <f t="shared" si="2"/>
        <v>0</v>
      </c>
      <c r="AF44" s="1">
        <f t="shared" si="3"/>
        <v>10</v>
      </c>
      <c r="AG44" s="1">
        <f t="shared" si="4"/>
        <v>7.5</v>
      </c>
      <c r="AH44" s="1">
        <f t="shared" si="5"/>
        <v>17.5</v>
      </c>
      <c r="AI44" s="1">
        <v>14</v>
      </c>
      <c r="AJ44" s="1">
        <f>VLOOKUP(X44,[8]ölçme_sistemleri!I:M,5,FALSE)</f>
        <v>2</v>
      </c>
      <c r="AK44" s="1">
        <f t="shared" si="6"/>
        <v>245</v>
      </c>
      <c r="AL44" s="1">
        <f>AI44*4</f>
        <v>56</v>
      </c>
      <c r="AM44" s="1">
        <f>VLOOKUP(X44,[8]ölçme_sistemleri!I:N,6,FALSE)</f>
        <v>3</v>
      </c>
      <c r="AN44" s="1">
        <v>2</v>
      </c>
      <c r="AO44" s="1">
        <f t="shared" si="7"/>
        <v>6</v>
      </c>
      <c r="AP44" s="1">
        <v>14</v>
      </c>
      <c r="AQ44" s="1">
        <f t="shared" si="8"/>
        <v>42</v>
      </c>
      <c r="AR44" s="1">
        <f t="shared" si="9"/>
        <v>121.5</v>
      </c>
      <c r="AS44" s="1">
        <f>IF(BE44="s",25,25)</f>
        <v>25</v>
      </c>
      <c r="AT44" s="1">
        <f t="shared" si="11"/>
        <v>5</v>
      </c>
      <c r="AU44" s="1">
        <f t="shared" si="12"/>
        <v>0</v>
      </c>
      <c r="AV44" s="1">
        <f t="shared" si="33"/>
        <v>0</v>
      </c>
      <c r="AW44" s="1">
        <f t="shared" si="34"/>
        <v>0</v>
      </c>
      <c r="AX44" s="1">
        <f t="shared" si="35"/>
        <v>0</v>
      </c>
      <c r="AY44" s="1">
        <f t="shared" si="16"/>
        <v>-17.5</v>
      </c>
      <c r="AZ44" s="1">
        <f t="shared" si="36"/>
        <v>0</v>
      </c>
      <c r="BA44" s="1">
        <f t="shared" si="18"/>
        <v>-56</v>
      </c>
      <c r="BB44" s="1">
        <f t="shared" si="31"/>
        <v>0</v>
      </c>
      <c r="BC44" s="1">
        <f t="shared" si="20"/>
        <v>-6</v>
      </c>
      <c r="BD44" s="1">
        <f t="shared" si="21"/>
        <v>0</v>
      </c>
      <c r="BE44" s="1" t="s">
        <v>65</v>
      </c>
      <c r="BF44" s="1">
        <f t="shared" si="37"/>
        <v>35</v>
      </c>
      <c r="BG44" s="1">
        <f t="shared" si="32"/>
        <v>35</v>
      </c>
      <c r="BH44" s="1">
        <f t="shared" si="24"/>
        <v>1</v>
      </c>
      <c r="BI44" s="1" t="e">
        <f>IF(BH44-#REF!=0,"DOĞRU","YANLIŞ")</f>
        <v>#REF!</v>
      </c>
      <c r="BJ44" s="1" t="e">
        <f>#REF!-BH44</f>
        <v>#REF!</v>
      </c>
      <c r="BK44" s="1">
        <v>0</v>
      </c>
      <c r="BM44" s="1">
        <v>0</v>
      </c>
      <c r="BO44" s="1">
        <v>2</v>
      </c>
      <c r="BT44" s="8">
        <f t="shared" si="38"/>
        <v>14</v>
      </c>
      <c r="BU44" s="9"/>
      <c r="BV44" s="10"/>
      <c r="BW44" s="11"/>
      <c r="BX44" s="11"/>
      <c r="BY44" s="11"/>
      <c r="BZ44" s="11"/>
      <c r="CA44" s="11"/>
      <c r="CB44" s="12"/>
      <c r="CC44" s="13"/>
      <c r="CD44" s="14"/>
      <c r="CL44" s="11"/>
      <c r="CM44" s="11"/>
      <c r="CN44" s="11"/>
      <c r="CO44" s="11"/>
      <c r="CP44" s="11"/>
      <c r="CQ44" s="49"/>
      <c r="CR44" s="46"/>
      <c r="CS44" s="49"/>
      <c r="CT44" s="48"/>
      <c r="CU44" s="48"/>
      <c r="CV44" s="48"/>
      <c r="CW44" s="49"/>
      <c r="CX44" s="49"/>
    </row>
    <row r="45" spans="1:102" hidden="1" x14ac:dyDescent="0.25">
      <c r="A45" s="1" t="s">
        <v>79</v>
      </c>
      <c r="B45" s="1" t="s">
        <v>80</v>
      </c>
      <c r="C45" s="1" t="s">
        <v>80</v>
      </c>
      <c r="D45" s="2" t="s">
        <v>58</v>
      </c>
      <c r="E45" s="2" t="s">
        <v>58</v>
      </c>
      <c r="F45" s="3" t="e">
        <f>IF(BE45="S",
IF(#REF!+BM45=2018,
IF(#REF!=1,"18-19/1",
IF(#REF!=2,"18-19/2",
IF(#REF!=3,"19-20/1",
IF(#REF!=4,"19-20/2",
IF(#REF!=5,"20-21/1",
IF(#REF!=6,"20-21/2",
IF(#REF!=7,"21-22/1",
IF(#REF!=8,"21-22/2","Hata1")))))))),
IF(#REF!+BM45=2019,
IF(#REF!=1,"19-20/1",
IF(#REF!=2,"19-20/2",
IF(#REF!=3,"20-21/1",
IF(#REF!=4,"20-21/2",
IF(#REF!=5,"21-22/1",
IF(#REF!=6,"21-22/2",
IF(#REF!=7,"22-23/1",
IF(#REF!=8,"22-23/2","Hata2")))))))),
IF(#REF!+BM45=2020,
IF(#REF!=1,"20-21/1",
IF(#REF!=2,"20-21/2",
IF(#REF!=3,"21-22/1",
IF(#REF!=4,"21-22/2",
IF(#REF!=5,"22-23/1",
IF(#REF!=6,"22-23/2",
IF(#REF!=7,"23-24/1",
IF(#REF!=8,"23-24/2","Hata3")))))))),
IF(#REF!+BM45=2021,
IF(#REF!=1,"21-22/1",
IF(#REF!=2,"21-22/2",
IF(#REF!=3,"22-23/1",
IF(#REF!=4,"22-23/2",
IF(#REF!=5,"23-24/1",
IF(#REF!=6,"23-24/2",
IF(#REF!=7,"24-25/1",
IF(#REF!=8,"24-25/2","Hata4")))))))),
IF(#REF!+BM45=2022,
IF(#REF!=1,"22-23/1",
IF(#REF!=2,"22-23/2",
IF(#REF!=3,"23-24/1",
IF(#REF!=4,"23-24/2",
IF(#REF!=5,"24-25/1",
IF(#REF!=6,"24-25/2",
IF(#REF!=7,"25-26/1",
IF(#REF!=8,"25-26/2","Hata5")))))))),
IF(#REF!+BM45=2023,
IF(#REF!=1,"23-24/1",
IF(#REF!=2,"23-24/2",
IF(#REF!=3,"24-25/1",
IF(#REF!=4,"24-25/2",
IF(#REF!=5,"25-26/1",
IF(#REF!=6,"25-26/2",
IF(#REF!=7,"26-27/1",
IF(#REF!=8,"26-27/2","Hata6")))))))),
)))))),
IF(BE45="T",
IF(#REF!+BM45=2018,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5" s="1" t="s">
        <v>59</v>
      </c>
      <c r="J45" s="1">
        <v>4234786</v>
      </c>
      <c r="L45" s="2">
        <v>3401</v>
      </c>
      <c r="N45" s="2">
        <v>4</v>
      </c>
      <c r="O45" s="6">
        <f t="shared" si="0"/>
        <v>2</v>
      </c>
      <c r="P45" s="2">
        <f t="shared" si="1"/>
        <v>2</v>
      </c>
      <c r="Q45" s="2">
        <v>2</v>
      </c>
      <c r="R45" s="2">
        <v>0</v>
      </c>
      <c r="S45" s="2">
        <v>0</v>
      </c>
      <c r="X45" s="3">
        <v>4</v>
      </c>
      <c r="Y45" s="1">
        <f>VLOOKUP($X45,[5]ölçme_sistemleri!I$1:L$65536,2,FALSE)</f>
        <v>0</v>
      </c>
      <c r="Z45" s="1">
        <f>VLOOKUP($X45,[5]ölçme_sistemleri!I$1:L$65536,3,FALSE)</f>
        <v>1</v>
      </c>
      <c r="AA45" s="1">
        <f>VLOOKUP($X45,[5]ölçme_sistemleri!I$1:L$65536,4,FALSE)</f>
        <v>1</v>
      </c>
      <c r="AB45" s="1">
        <f>$O45*[5]ölçme_sistemleri!J$13</f>
        <v>2</v>
      </c>
      <c r="AC45" s="1">
        <f>$O45*[5]ölçme_sistemleri!K$13</f>
        <v>4</v>
      </c>
      <c r="AD45" s="1">
        <f>$O45*[5]ölçme_sistemleri!L$13</f>
        <v>6</v>
      </c>
      <c r="AE45" s="1">
        <f t="shared" si="2"/>
        <v>0</v>
      </c>
      <c r="AF45" s="1">
        <f t="shared" si="3"/>
        <v>4</v>
      </c>
      <c r="AG45" s="1">
        <f t="shared" si="4"/>
        <v>6</v>
      </c>
      <c r="AH45" s="1">
        <f t="shared" si="5"/>
        <v>10</v>
      </c>
      <c r="AI45" s="1">
        <v>14</v>
      </c>
      <c r="AJ45" s="1">
        <f>VLOOKUP(X45,[5]ölçme_sistemleri!I$1:M$65536,5,FALSE)</f>
        <v>1</v>
      </c>
      <c r="AK45" s="1">
        <f t="shared" si="6"/>
        <v>140</v>
      </c>
      <c r="AL45" s="1">
        <f>AI45*5</f>
        <v>70</v>
      </c>
      <c r="AM45" s="1">
        <f>VLOOKUP(X45,[5]ölçme_sistemleri!I$1:N$65536,6,FALSE)</f>
        <v>2</v>
      </c>
      <c r="AN45" s="1">
        <v>2</v>
      </c>
      <c r="AO45" s="1">
        <f t="shared" si="7"/>
        <v>4</v>
      </c>
      <c r="AP45" s="1">
        <v>14</v>
      </c>
      <c r="AQ45" s="1">
        <f t="shared" si="8"/>
        <v>28</v>
      </c>
      <c r="AR45" s="1">
        <f t="shared" si="9"/>
        <v>112</v>
      </c>
      <c r="AS45" s="1">
        <f>IF(BE45="s",25,30)</f>
        <v>25</v>
      </c>
      <c r="AT45" s="1">
        <f t="shared" si="11"/>
        <v>4</v>
      </c>
      <c r="AU45" s="1">
        <f t="shared" si="12"/>
        <v>0</v>
      </c>
      <c r="AV45" s="1">
        <f t="shared" si="33"/>
        <v>0</v>
      </c>
      <c r="AW45" s="1">
        <f t="shared" si="34"/>
        <v>0</v>
      </c>
      <c r="AX45" s="1">
        <f t="shared" si="35"/>
        <v>0</v>
      </c>
      <c r="AY45" s="1">
        <f t="shared" si="16"/>
        <v>-10</v>
      </c>
      <c r="AZ45" s="1">
        <f t="shared" si="36"/>
        <v>0</v>
      </c>
      <c r="BA45" s="1">
        <f t="shared" si="18"/>
        <v>-70</v>
      </c>
      <c r="BB45" s="1">
        <f t="shared" si="31"/>
        <v>0</v>
      </c>
      <c r="BC45" s="1">
        <f t="shared" si="20"/>
        <v>-4</v>
      </c>
      <c r="BD45" s="1">
        <f t="shared" si="21"/>
        <v>0</v>
      </c>
      <c r="BE45" s="1" t="s">
        <v>65</v>
      </c>
      <c r="BF45" s="1">
        <f t="shared" si="37"/>
        <v>28</v>
      </c>
      <c r="BG45" s="1">
        <f t="shared" si="32"/>
        <v>28</v>
      </c>
      <c r="BH45" s="1">
        <f t="shared" si="24"/>
        <v>1</v>
      </c>
      <c r="BI45" s="1" t="e">
        <f>IF(BH45-#REF!=0,"DOĞRU","YANLIŞ")</f>
        <v>#REF!</v>
      </c>
      <c r="BJ45" s="1" t="e">
        <f>#REF!-BH45</f>
        <v>#REF!</v>
      </c>
      <c r="BK45" s="1">
        <v>0</v>
      </c>
      <c r="BM45" s="1">
        <v>0</v>
      </c>
      <c r="BO45" s="1">
        <v>4</v>
      </c>
      <c r="BT45" s="8">
        <f t="shared" si="38"/>
        <v>0</v>
      </c>
      <c r="BU45" s="9"/>
      <c r="BV45" s="10"/>
      <c r="BW45" s="11"/>
      <c r="BX45" s="11"/>
      <c r="BY45" s="11"/>
      <c r="BZ45" s="11"/>
      <c r="CA45" s="11"/>
      <c r="CB45" s="12"/>
      <c r="CC45" s="13"/>
      <c r="CD45" s="14"/>
      <c r="CL45" s="11"/>
      <c r="CM45" s="11"/>
      <c r="CN45" s="11"/>
      <c r="CO45" s="11"/>
      <c r="CP45" s="11"/>
      <c r="CQ45" s="54"/>
      <c r="CR45" s="55"/>
      <c r="CS45" s="54"/>
      <c r="CT45" s="46"/>
      <c r="CU45" s="48"/>
      <c r="CV45" s="48"/>
      <c r="CW45" s="49"/>
      <c r="CX45" s="49"/>
    </row>
    <row r="46" spans="1:102" hidden="1" x14ac:dyDescent="0.25">
      <c r="A46" s="1" t="s">
        <v>404</v>
      </c>
      <c r="B46" s="1" t="s">
        <v>405</v>
      </c>
      <c r="C46" s="1" t="s">
        <v>405</v>
      </c>
      <c r="D46" s="2" t="s">
        <v>63</v>
      </c>
      <c r="E46" s="2" t="s">
        <v>63</v>
      </c>
      <c r="F46" s="3" t="e">
        <f>IF(BE46="S",
IF(#REF!+BM46=2018,
IF(#REF!=1,"18-19/1",
IF(#REF!=2,"18-19/2",
IF(#REF!=3,"19-20/1",
IF(#REF!=4,"19-20/2",
IF(#REF!=5,"20-21/1",
IF(#REF!=6,"20-21/2",
IF(#REF!=7,"21-22/1",
IF(#REF!=8,"21-22/2","Hata1")))))))),
IF(#REF!+BM46=2019,
IF(#REF!=1,"19-20/1",
IF(#REF!=2,"19-20/2",
IF(#REF!=3,"20-21/1",
IF(#REF!=4,"20-21/2",
IF(#REF!=5,"21-22/1",
IF(#REF!=6,"21-22/2",
IF(#REF!=7,"22-23/1",
IF(#REF!=8,"22-23/2","Hata2")))))))),
IF(#REF!+BM46=2020,
IF(#REF!=1,"20-21/1",
IF(#REF!=2,"20-21/2",
IF(#REF!=3,"21-22/1",
IF(#REF!=4,"21-22/2",
IF(#REF!=5,"22-23/1",
IF(#REF!=6,"22-23/2",
IF(#REF!=7,"23-24/1",
IF(#REF!=8,"23-24/2","Hata3")))))))),
IF(#REF!+BM46=2021,
IF(#REF!=1,"21-22/1",
IF(#REF!=2,"21-22/2",
IF(#REF!=3,"22-23/1",
IF(#REF!=4,"22-23/2",
IF(#REF!=5,"23-24/1",
IF(#REF!=6,"23-24/2",
IF(#REF!=7,"24-25/1",
IF(#REF!=8,"24-25/2","Hata4")))))))),
IF(#REF!+BM46=2022,
IF(#REF!=1,"22-23/1",
IF(#REF!=2,"22-23/2",
IF(#REF!=3,"23-24/1",
IF(#REF!=4,"23-24/2",
IF(#REF!=5,"24-25/1",
IF(#REF!=6,"24-25/2",
IF(#REF!=7,"25-26/1",
IF(#REF!=8,"25-26/2","Hata5")))))))),
IF(#REF!+BM46=2023,
IF(#REF!=1,"23-24/1",
IF(#REF!=2,"23-24/2",
IF(#REF!=3,"24-25/1",
IF(#REF!=4,"24-25/2",
IF(#REF!=5,"25-26/1",
IF(#REF!=6,"25-26/2",
IF(#REF!=7,"26-27/1",
IF(#REF!=8,"26-27/2","Hata6")))))))),
)))))),
IF(BE46="T",
IF(#REF!+BM46=2018,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6" s="1" t="s">
        <v>59</v>
      </c>
      <c r="J46" s="1">
        <v>4234786</v>
      </c>
      <c r="N46" s="2">
        <v>4</v>
      </c>
      <c r="O46" s="6">
        <f t="shared" si="0"/>
        <v>2.5</v>
      </c>
      <c r="P46" s="2">
        <f t="shared" si="1"/>
        <v>3</v>
      </c>
      <c r="Q46" s="2">
        <v>2</v>
      </c>
      <c r="R46" s="2">
        <v>1</v>
      </c>
      <c r="S46" s="2">
        <v>0</v>
      </c>
      <c r="X46" s="3">
        <v>2</v>
      </c>
      <c r="Y46" s="1">
        <f>VLOOKUP(X46,[9]ölçme_sistemleri!I:L,2,FALSE)</f>
        <v>0</v>
      </c>
      <c r="Z46" s="1">
        <f>VLOOKUP(X46,[9]ölçme_sistemleri!I:L,3,FALSE)</f>
        <v>2</v>
      </c>
      <c r="AA46" s="1">
        <f>VLOOKUP(X46,[9]ölçme_sistemleri!I:L,4,FALSE)</f>
        <v>1</v>
      </c>
      <c r="AB46" s="1">
        <f>$O46*[9]ölçme_sistemleri!$J$13</f>
        <v>2.5</v>
      </c>
      <c r="AC46" s="1">
        <f>$O46*[9]ölçme_sistemleri!$K$13</f>
        <v>5</v>
      </c>
      <c r="AD46" s="1">
        <f>$O46*[9]ölçme_sistemleri!$L$13</f>
        <v>7.5</v>
      </c>
      <c r="AE46" s="1">
        <f t="shared" si="2"/>
        <v>0</v>
      </c>
      <c r="AF46" s="1">
        <f t="shared" si="3"/>
        <v>10</v>
      </c>
      <c r="AG46" s="1">
        <f t="shared" si="4"/>
        <v>7.5</v>
      </c>
      <c r="AH46" s="1">
        <f t="shared" si="5"/>
        <v>17.5</v>
      </c>
      <c r="AI46" s="1">
        <v>14</v>
      </c>
      <c r="AJ46" s="1">
        <f>VLOOKUP(X46,[9]ölçme_sistemleri!I:M,5,FALSE)</f>
        <v>2</v>
      </c>
      <c r="AK46" s="1">
        <f t="shared" si="6"/>
        <v>245</v>
      </c>
      <c r="AL46" s="1">
        <f t="shared" ref="AL46:AL54" si="39">(Q46+S46)*AI46</f>
        <v>28</v>
      </c>
      <c r="AM46" s="1">
        <f>VLOOKUP(X46,[9]ölçme_sistemleri!I:N,6,FALSE)</f>
        <v>3</v>
      </c>
      <c r="AN46" s="1">
        <v>2</v>
      </c>
      <c r="AO46" s="1">
        <f t="shared" si="7"/>
        <v>6</v>
      </c>
      <c r="AP46" s="1">
        <v>14</v>
      </c>
      <c r="AQ46" s="1">
        <f t="shared" si="8"/>
        <v>42</v>
      </c>
      <c r="AR46" s="1">
        <f t="shared" si="9"/>
        <v>93.5</v>
      </c>
      <c r="AS46" s="1">
        <f t="shared" ref="AS46:AS50" si="40">IF(BE46="s",25,25)</f>
        <v>25</v>
      </c>
      <c r="AT46" s="1">
        <f t="shared" si="11"/>
        <v>4</v>
      </c>
      <c r="AU46" s="1">
        <f t="shared" si="12"/>
        <v>0</v>
      </c>
      <c r="AV46" s="1">
        <f t="shared" si="33"/>
        <v>0</v>
      </c>
      <c r="AW46" s="1">
        <f t="shared" si="34"/>
        <v>0</v>
      </c>
      <c r="AX46" s="1">
        <f t="shared" si="35"/>
        <v>0</v>
      </c>
      <c r="AY46" s="1">
        <f t="shared" si="16"/>
        <v>-17.5</v>
      </c>
      <c r="AZ46" s="1">
        <f t="shared" si="36"/>
        <v>0</v>
      </c>
      <c r="BA46" s="1">
        <f t="shared" si="18"/>
        <v>-28</v>
      </c>
      <c r="BB46" s="1">
        <f t="shared" si="31"/>
        <v>0</v>
      </c>
      <c r="BC46" s="1">
        <f t="shared" si="20"/>
        <v>-6</v>
      </c>
      <c r="BD46" s="1">
        <f t="shared" si="21"/>
        <v>0</v>
      </c>
      <c r="BE46" s="1" t="s">
        <v>65</v>
      </c>
      <c r="BF46" s="1">
        <f t="shared" si="37"/>
        <v>35</v>
      </c>
      <c r="BG46" s="1">
        <f t="shared" si="32"/>
        <v>35</v>
      </c>
      <c r="BH46" s="1">
        <f t="shared" si="24"/>
        <v>1</v>
      </c>
      <c r="BI46" s="1" t="e">
        <f>IF(BH46-#REF!=0,"DOĞRU","YANLIŞ")</f>
        <v>#REF!</v>
      </c>
      <c r="BJ46" s="1" t="e">
        <f>#REF!-BH46</f>
        <v>#REF!</v>
      </c>
      <c r="BK46" s="1">
        <v>0</v>
      </c>
      <c r="BM46" s="1">
        <v>0</v>
      </c>
      <c r="BO46" s="1">
        <v>0</v>
      </c>
      <c r="BT46" s="8">
        <f t="shared" si="38"/>
        <v>14</v>
      </c>
      <c r="BU46" s="9"/>
      <c r="BV46" s="10"/>
      <c r="BW46" s="11"/>
      <c r="BX46" s="11"/>
      <c r="BY46" s="11"/>
      <c r="BZ46" s="11"/>
      <c r="CA46" s="11"/>
      <c r="CB46" s="12"/>
      <c r="CC46" s="13"/>
      <c r="CD46" s="14"/>
      <c r="CL46" s="11"/>
      <c r="CM46" s="11"/>
      <c r="CN46" s="11"/>
      <c r="CO46" s="11"/>
      <c r="CP46" s="11"/>
      <c r="CQ46" s="49"/>
      <c r="CR46" s="46"/>
      <c r="CS46" s="48"/>
      <c r="CT46" s="48"/>
      <c r="CU46" s="48"/>
      <c r="CV46" s="48"/>
      <c r="CW46" s="49"/>
      <c r="CX46" s="49"/>
    </row>
    <row r="47" spans="1:102" hidden="1" x14ac:dyDescent="0.25">
      <c r="A47" s="1" t="s">
        <v>410</v>
      </c>
      <c r="B47" s="1" t="s">
        <v>411</v>
      </c>
      <c r="C47" s="1" t="s">
        <v>411</v>
      </c>
      <c r="D47" s="2" t="s">
        <v>63</v>
      </c>
      <c r="E47" s="2" t="s">
        <v>63</v>
      </c>
      <c r="F47" s="3" t="e">
        <f>IF(BE47="S",
IF(#REF!+BM47=2018,
IF(#REF!=1,"18-19/1",
IF(#REF!=2,"18-19/2",
IF(#REF!=3,"19-20/1",
IF(#REF!=4,"19-20/2",
IF(#REF!=5,"20-21/1",
IF(#REF!=6,"20-21/2",
IF(#REF!=7,"21-22/1",
IF(#REF!=8,"21-22/2","Hata1")))))))),
IF(#REF!+BM47=2019,
IF(#REF!=1,"19-20/1",
IF(#REF!=2,"19-20/2",
IF(#REF!=3,"20-21/1",
IF(#REF!=4,"20-21/2",
IF(#REF!=5,"21-22/1",
IF(#REF!=6,"21-22/2",
IF(#REF!=7,"22-23/1",
IF(#REF!=8,"22-23/2","Hata2")))))))),
IF(#REF!+BM47=2020,
IF(#REF!=1,"20-21/1",
IF(#REF!=2,"20-21/2",
IF(#REF!=3,"21-22/1",
IF(#REF!=4,"21-22/2",
IF(#REF!=5,"22-23/1",
IF(#REF!=6,"22-23/2",
IF(#REF!=7,"23-24/1",
IF(#REF!=8,"23-24/2","Hata3")))))))),
IF(#REF!+BM47=2021,
IF(#REF!=1,"21-22/1",
IF(#REF!=2,"21-22/2",
IF(#REF!=3,"22-23/1",
IF(#REF!=4,"22-23/2",
IF(#REF!=5,"23-24/1",
IF(#REF!=6,"23-24/2",
IF(#REF!=7,"24-25/1",
IF(#REF!=8,"24-25/2","Hata4")))))))),
IF(#REF!+BM47=2022,
IF(#REF!=1,"22-23/1",
IF(#REF!=2,"22-23/2",
IF(#REF!=3,"23-24/1",
IF(#REF!=4,"23-24/2",
IF(#REF!=5,"24-25/1",
IF(#REF!=6,"24-25/2",
IF(#REF!=7,"25-26/1",
IF(#REF!=8,"25-26/2","Hata5")))))))),
IF(#REF!+BM47=2023,
IF(#REF!=1,"23-24/1",
IF(#REF!=2,"23-24/2",
IF(#REF!=3,"24-25/1",
IF(#REF!=4,"24-25/2",
IF(#REF!=5,"25-26/1",
IF(#REF!=6,"25-26/2",
IF(#REF!=7,"26-27/1",
IF(#REF!=8,"26-27/2","Hata6")))))))),
)))))),
IF(BE47="T",
IF(#REF!+BM47=2018,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7" s="1" t="s">
        <v>59</v>
      </c>
      <c r="J47" s="1">
        <v>4234786</v>
      </c>
      <c r="N47" s="2">
        <v>3</v>
      </c>
      <c r="O47" s="6">
        <f t="shared" si="0"/>
        <v>2</v>
      </c>
      <c r="P47" s="2">
        <f t="shared" si="1"/>
        <v>2</v>
      </c>
      <c r="Q47" s="2">
        <v>0</v>
      </c>
      <c r="R47" s="2">
        <v>0</v>
      </c>
      <c r="S47" s="2">
        <v>2</v>
      </c>
      <c r="X47" s="3">
        <v>4</v>
      </c>
      <c r="Y47" s="1">
        <f>VLOOKUP(X47,[9]ölçme_sistemleri!I:L,2,FALSE)</f>
        <v>0</v>
      </c>
      <c r="Z47" s="1">
        <f>VLOOKUP(X47,[9]ölçme_sistemleri!I:L,3,FALSE)</f>
        <v>1</v>
      </c>
      <c r="AA47" s="1">
        <f>VLOOKUP(X47,[9]ölçme_sistemleri!I:L,4,FALSE)</f>
        <v>1</v>
      </c>
      <c r="AB47" s="1">
        <f>$O47*[9]ölçme_sistemleri!$J$13</f>
        <v>2</v>
      </c>
      <c r="AC47" s="1">
        <f>$O47*[9]ölçme_sistemleri!$K$13</f>
        <v>4</v>
      </c>
      <c r="AD47" s="1">
        <f>$O47*[9]ölçme_sistemleri!$L$13</f>
        <v>6</v>
      </c>
      <c r="AE47" s="1">
        <f t="shared" si="2"/>
        <v>0</v>
      </c>
      <c r="AF47" s="1">
        <f t="shared" si="3"/>
        <v>4</v>
      </c>
      <c r="AG47" s="1">
        <f t="shared" si="4"/>
        <v>6</v>
      </c>
      <c r="AH47" s="1">
        <f t="shared" si="5"/>
        <v>10</v>
      </c>
      <c r="AI47" s="1">
        <v>14</v>
      </c>
      <c r="AJ47" s="1">
        <f>VLOOKUP(X47,[9]ölçme_sistemleri!I:M,5,FALSE)</f>
        <v>1</v>
      </c>
      <c r="AK47" s="1">
        <f t="shared" si="6"/>
        <v>140</v>
      </c>
      <c r="AL47" s="1">
        <f t="shared" si="39"/>
        <v>28</v>
      </c>
      <c r="AM47" s="1">
        <f>VLOOKUP(X47,[9]ölçme_sistemleri!I:N,6,FALSE)</f>
        <v>2</v>
      </c>
      <c r="AN47" s="1">
        <v>2</v>
      </c>
      <c r="AO47" s="1">
        <f t="shared" si="7"/>
        <v>4</v>
      </c>
      <c r="AP47" s="1">
        <v>14</v>
      </c>
      <c r="AQ47" s="1">
        <f t="shared" si="8"/>
        <v>28</v>
      </c>
      <c r="AR47" s="1">
        <f t="shared" si="9"/>
        <v>70</v>
      </c>
      <c r="AS47" s="1">
        <f t="shared" si="40"/>
        <v>25</v>
      </c>
      <c r="AT47" s="1">
        <f t="shared" si="11"/>
        <v>3</v>
      </c>
      <c r="AU47" s="1">
        <f t="shared" si="12"/>
        <v>0</v>
      </c>
      <c r="AV47" s="1">
        <f t="shared" si="33"/>
        <v>0</v>
      </c>
      <c r="AW47" s="1">
        <f t="shared" si="34"/>
        <v>0</v>
      </c>
      <c r="AX47" s="1">
        <f t="shared" si="35"/>
        <v>0</v>
      </c>
      <c r="AY47" s="1">
        <f t="shared" si="16"/>
        <v>-10</v>
      </c>
      <c r="AZ47" s="1">
        <f t="shared" si="36"/>
        <v>0</v>
      </c>
      <c r="BA47" s="1">
        <f t="shared" si="18"/>
        <v>-28</v>
      </c>
      <c r="BB47" s="1">
        <f t="shared" si="31"/>
        <v>0</v>
      </c>
      <c r="BC47" s="1">
        <f t="shared" si="20"/>
        <v>-4</v>
      </c>
      <c r="BD47" s="1">
        <f t="shared" si="21"/>
        <v>0</v>
      </c>
      <c r="BE47" s="1" t="s">
        <v>65</v>
      </c>
      <c r="BF47" s="1">
        <f t="shared" si="37"/>
        <v>28</v>
      </c>
      <c r="BG47" s="1">
        <f t="shared" si="32"/>
        <v>28</v>
      </c>
      <c r="BH47" s="1">
        <f t="shared" si="24"/>
        <v>1</v>
      </c>
      <c r="BI47" s="1" t="e">
        <f>IF(BH47-#REF!=0,"DOĞRU","YANLIŞ")</f>
        <v>#REF!</v>
      </c>
      <c r="BJ47" s="1" t="e">
        <f>#REF!-BH47</f>
        <v>#REF!</v>
      </c>
      <c r="BK47" s="1">
        <v>0</v>
      </c>
      <c r="BM47" s="1">
        <v>0</v>
      </c>
      <c r="BO47" s="1">
        <v>0</v>
      </c>
      <c r="BT47" s="8">
        <f t="shared" si="38"/>
        <v>0</v>
      </c>
      <c r="BU47" s="9"/>
      <c r="BV47" s="10"/>
      <c r="BW47" s="11"/>
      <c r="BX47" s="11"/>
      <c r="BY47" s="11"/>
      <c r="BZ47" s="11"/>
      <c r="CA47" s="11"/>
      <c r="CB47" s="12"/>
      <c r="CC47" s="13"/>
      <c r="CD47" s="14"/>
      <c r="CL47" s="11"/>
      <c r="CM47" s="11"/>
      <c r="CN47" s="11"/>
      <c r="CO47" s="11"/>
      <c r="CP47" s="11"/>
      <c r="CQ47" s="54"/>
      <c r="CR47" s="46"/>
      <c r="CS47" s="54"/>
      <c r="CT47" s="48"/>
      <c r="CU47" s="48"/>
      <c r="CV47" s="48"/>
      <c r="CW47" s="49"/>
      <c r="CX47" s="49"/>
    </row>
    <row r="48" spans="1:102" hidden="1" x14ac:dyDescent="0.25">
      <c r="A48" s="1" t="s">
        <v>408</v>
      </c>
      <c r="B48" s="1" t="s">
        <v>409</v>
      </c>
      <c r="C48" s="1" t="s">
        <v>409</v>
      </c>
      <c r="D48" s="2" t="s">
        <v>58</v>
      </c>
      <c r="E48" s="2" t="s">
        <v>58</v>
      </c>
      <c r="F48" s="3" t="e">
        <f>IF(BE48="S",
IF(#REF!+BM48=2018,
IF(#REF!=1,"18-19/1",
IF(#REF!=2,"18-19/2",
IF(#REF!=3,"19-20/1",
IF(#REF!=4,"19-20/2",
IF(#REF!=5,"20-21/1",
IF(#REF!=6,"20-21/2",
IF(#REF!=7,"21-22/1",
IF(#REF!=8,"21-22/2","Hata1")))))))),
IF(#REF!+BM48=2019,
IF(#REF!=1,"19-20/1",
IF(#REF!=2,"19-20/2",
IF(#REF!=3,"20-21/1",
IF(#REF!=4,"20-21/2",
IF(#REF!=5,"21-22/1",
IF(#REF!=6,"21-22/2",
IF(#REF!=7,"22-23/1",
IF(#REF!=8,"22-23/2","Hata2")))))))),
IF(#REF!+BM48=2020,
IF(#REF!=1,"20-21/1",
IF(#REF!=2,"20-21/2",
IF(#REF!=3,"21-22/1",
IF(#REF!=4,"21-22/2",
IF(#REF!=5,"22-23/1",
IF(#REF!=6,"22-23/2",
IF(#REF!=7,"23-24/1",
IF(#REF!=8,"23-24/2","Hata3")))))))),
IF(#REF!+BM48=2021,
IF(#REF!=1,"21-22/1",
IF(#REF!=2,"21-22/2",
IF(#REF!=3,"22-23/1",
IF(#REF!=4,"22-23/2",
IF(#REF!=5,"23-24/1",
IF(#REF!=6,"23-24/2",
IF(#REF!=7,"24-25/1",
IF(#REF!=8,"24-25/2","Hata4")))))))),
IF(#REF!+BM48=2022,
IF(#REF!=1,"22-23/1",
IF(#REF!=2,"22-23/2",
IF(#REF!=3,"23-24/1",
IF(#REF!=4,"23-24/2",
IF(#REF!=5,"24-25/1",
IF(#REF!=6,"24-25/2",
IF(#REF!=7,"25-26/1",
IF(#REF!=8,"25-26/2","Hata5")))))))),
IF(#REF!+BM48=2023,
IF(#REF!=1,"23-24/1",
IF(#REF!=2,"23-24/2",
IF(#REF!=3,"24-25/1",
IF(#REF!=4,"24-25/2",
IF(#REF!=5,"25-26/1",
IF(#REF!=6,"25-26/2",
IF(#REF!=7,"26-27/1",
IF(#REF!=8,"26-27/2","Hata6")))))))),
)))))),
IF(BE48="T",
IF(#REF!+BM48=2018,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8" s="1" t="s">
        <v>59</v>
      </c>
      <c r="J48" s="1">
        <v>4234786</v>
      </c>
      <c r="L48" s="2">
        <v>2031</v>
      </c>
      <c r="N48" s="2">
        <v>4</v>
      </c>
      <c r="O48" s="6">
        <f t="shared" si="0"/>
        <v>3</v>
      </c>
      <c r="P48" s="2">
        <f t="shared" si="1"/>
        <v>3</v>
      </c>
      <c r="Q48" s="2">
        <v>3</v>
      </c>
      <c r="R48" s="2">
        <v>0</v>
      </c>
      <c r="S48" s="2">
        <v>0</v>
      </c>
      <c r="X48" s="3">
        <v>2</v>
      </c>
      <c r="Y48" s="1">
        <f>VLOOKUP(X48,[9]ölçme_sistemleri!I:L,2,FALSE)</f>
        <v>0</v>
      </c>
      <c r="Z48" s="1">
        <f>VLOOKUP(X48,[9]ölçme_sistemleri!I:L,3,FALSE)</f>
        <v>2</v>
      </c>
      <c r="AA48" s="1">
        <f>VLOOKUP(X48,[9]ölçme_sistemleri!I:L,4,FALSE)</f>
        <v>1</v>
      </c>
      <c r="AB48" s="1">
        <f>$O48*[9]ölçme_sistemleri!$J$13</f>
        <v>3</v>
      </c>
      <c r="AC48" s="1">
        <f>$O48*[9]ölçme_sistemleri!$K$13</f>
        <v>6</v>
      </c>
      <c r="AD48" s="1">
        <f>$O48*[9]ölçme_sistemleri!$L$13</f>
        <v>9</v>
      </c>
      <c r="AE48" s="1">
        <f t="shared" si="2"/>
        <v>0</v>
      </c>
      <c r="AF48" s="1">
        <f t="shared" si="3"/>
        <v>12</v>
      </c>
      <c r="AG48" s="1">
        <f t="shared" si="4"/>
        <v>9</v>
      </c>
      <c r="AH48" s="1">
        <f t="shared" si="5"/>
        <v>21</v>
      </c>
      <c r="AI48" s="1">
        <v>14</v>
      </c>
      <c r="AJ48" s="1">
        <f>VLOOKUP(X48,[9]ölçme_sistemleri!I:M,5,FALSE)</f>
        <v>2</v>
      </c>
      <c r="AK48" s="1">
        <f t="shared" si="6"/>
        <v>294</v>
      </c>
      <c r="AL48" s="1">
        <f t="shared" si="39"/>
        <v>42</v>
      </c>
      <c r="AM48" s="1">
        <f>VLOOKUP(X48,[9]ölçme_sistemleri!I:N,6,FALSE)</f>
        <v>3</v>
      </c>
      <c r="AN48" s="1">
        <v>2</v>
      </c>
      <c r="AO48" s="1">
        <f t="shared" si="7"/>
        <v>6</v>
      </c>
      <c r="AP48" s="1">
        <v>14</v>
      </c>
      <c r="AQ48" s="1">
        <f t="shared" si="8"/>
        <v>42</v>
      </c>
      <c r="AR48" s="1">
        <f t="shared" si="9"/>
        <v>111</v>
      </c>
      <c r="AS48" s="1">
        <f t="shared" si="40"/>
        <v>25</v>
      </c>
      <c r="AT48" s="1">
        <f t="shared" si="11"/>
        <v>4</v>
      </c>
      <c r="AU48" s="1">
        <f t="shared" si="12"/>
        <v>0</v>
      </c>
      <c r="AV48" s="1">
        <f t="shared" si="33"/>
        <v>0</v>
      </c>
      <c r="AW48" s="1">
        <f t="shared" si="34"/>
        <v>0</v>
      </c>
      <c r="AX48" s="1">
        <f t="shared" si="35"/>
        <v>0</v>
      </c>
      <c r="AY48" s="1">
        <f t="shared" si="16"/>
        <v>-21</v>
      </c>
      <c r="AZ48" s="1">
        <f t="shared" si="36"/>
        <v>0</v>
      </c>
      <c r="BA48" s="1">
        <f t="shared" si="18"/>
        <v>-42</v>
      </c>
      <c r="BB48" s="1">
        <f t="shared" si="31"/>
        <v>0</v>
      </c>
      <c r="BC48" s="1">
        <f t="shared" si="20"/>
        <v>-6</v>
      </c>
      <c r="BD48" s="1">
        <f t="shared" si="21"/>
        <v>0</v>
      </c>
      <c r="BE48" s="1" t="s">
        <v>65</v>
      </c>
      <c r="BF48" s="1">
        <f t="shared" si="37"/>
        <v>42</v>
      </c>
      <c r="BG48" s="1">
        <f t="shared" si="32"/>
        <v>42</v>
      </c>
      <c r="BH48" s="1">
        <f t="shared" si="24"/>
        <v>1</v>
      </c>
      <c r="BI48" s="1" t="e">
        <f>IF(BH48-#REF!=0,"DOĞRU","YANLIŞ")</f>
        <v>#REF!</v>
      </c>
      <c r="BJ48" s="1" t="e">
        <f>#REF!-BH48</f>
        <v>#REF!</v>
      </c>
      <c r="BK48" s="1">
        <v>0</v>
      </c>
      <c r="BM48" s="1">
        <v>0</v>
      </c>
      <c r="BO48" s="1">
        <v>0</v>
      </c>
      <c r="BT48" s="8">
        <f t="shared" si="38"/>
        <v>0</v>
      </c>
      <c r="BU48" s="9"/>
      <c r="BV48" s="10"/>
      <c r="BW48" s="11"/>
      <c r="BX48" s="11"/>
      <c r="BY48" s="11"/>
      <c r="BZ48" s="11"/>
      <c r="CA48" s="11"/>
      <c r="CB48" s="12"/>
      <c r="CC48" s="13"/>
      <c r="CD48" s="14"/>
      <c r="CL48" s="11"/>
      <c r="CM48" s="11"/>
      <c r="CN48" s="11"/>
      <c r="CO48" s="11"/>
      <c r="CP48" s="11"/>
      <c r="CQ48" s="49"/>
      <c r="CR48" s="46"/>
      <c r="CS48" s="54"/>
      <c r="CT48" s="48"/>
      <c r="CU48" s="48"/>
      <c r="CV48" s="48"/>
      <c r="CW48" s="49"/>
      <c r="CX48" s="49"/>
    </row>
    <row r="49" spans="1:102" hidden="1" x14ac:dyDescent="0.25">
      <c r="A49" s="1" t="s">
        <v>406</v>
      </c>
      <c r="B49" s="1" t="s">
        <v>407</v>
      </c>
      <c r="C49" s="1" t="s">
        <v>407</v>
      </c>
      <c r="D49" s="2" t="s">
        <v>58</v>
      </c>
      <c r="E49" s="2" t="s">
        <v>58</v>
      </c>
      <c r="F49" s="3" t="e">
        <f>IF(BE49="S",
IF(#REF!+BM49=2018,
IF(#REF!=1,"18-19/1",
IF(#REF!=2,"18-19/2",
IF(#REF!=3,"19-20/1",
IF(#REF!=4,"19-20/2",
IF(#REF!=5,"20-21/1",
IF(#REF!=6,"20-21/2",
IF(#REF!=7,"21-22/1",
IF(#REF!=8,"21-22/2","Hata1")))))))),
IF(#REF!+BM49=2019,
IF(#REF!=1,"19-20/1",
IF(#REF!=2,"19-20/2",
IF(#REF!=3,"20-21/1",
IF(#REF!=4,"20-21/2",
IF(#REF!=5,"21-22/1",
IF(#REF!=6,"21-22/2",
IF(#REF!=7,"22-23/1",
IF(#REF!=8,"22-23/2","Hata2")))))))),
IF(#REF!+BM49=2020,
IF(#REF!=1,"20-21/1",
IF(#REF!=2,"20-21/2",
IF(#REF!=3,"21-22/1",
IF(#REF!=4,"21-22/2",
IF(#REF!=5,"22-23/1",
IF(#REF!=6,"22-23/2",
IF(#REF!=7,"23-24/1",
IF(#REF!=8,"23-24/2","Hata3")))))))),
IF(#REF!+BM49=2021,
IF(#REF!=1,"21-22/1",
IF(#REF!=2,"21-22/2",
IF(#REF!=3,"22-23/1",
IF(#REF!=4,"22-23/2",
IF(#REF!=5,"23-24/1",
IF(#REF!=6,"23-24/2",
IF(#REF!=7,"24-25/1",
IF(#REF!=8,"24-25/2","Hata4")))))))),
IF(#REF!+BM49=2022,
IF(#REF!=1,"22-23/1",
IF(#REF!=2,"22-23/2",
IF(#REF!=3,"23-24/1",
IF(#REF!=4,"23-24/2",
IF(#REF!=5,"24-25/1",
IF(#REF!=6,"24-25/2",
IF(#REF!=7,"25-26/1",
IF(#REF!=8,"25-26/2","Hata5")))))))),
IF(#REF!+BM49=2023,
IF(#REF!=1,"23-24/1",
IF(#REF!=2,"23-24/2",
IF(#REF!=3,"24-25/1",
IF(#REF!=4,"24-25/2",
IF(#REF!=5,"25-26/1",
IF(#REF!=6,"25-26/2",
IF(#REF!=7,"26-27/1",
IF(#REF!=8,"26-27/2","Hata6")))))))),
)))))),
IF(BE49="T",
IF(#REF!+BM49=2018,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IF(#REF!+BM49=2019,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IF(#REF!+BM49=2020,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IF(#REF!+BM49=2021,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IF(#REF!+BM49=2022,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IF(#REF!+BM49=2023,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49" s="1" t="s">
        <v>59</v>
      </c>
      <c r="J49" s="1">
        <v>4234786</v>
      </c>
      <c r="L49" s="2">
        <v>2032</v>
      </c>
      <c r="N49" s="2">
        <v>4</v>
      </c>
      <c r="O49" s="6">
        <f t="shared" si="0"/>
        <v>3</v>
      </c>
      <c r="P49" s="2">
        <f t="shared" si="1"/>
        <v>3</v>
      </c>
      <c r="Q49" s="2">
        <v>3</v>
      </c>
      <c r="R49" s="2">
        <v>0</v>
      </c>
      <c r="S49" s="2">
        <v>0</v>
      </c>
      <c r="X49" s="3">
        <v>2</v>
      </c>
      <c r="Y49" s="1">
        <f>VLOOKUP(X49,[9]ölçme_sistemleri!I:L,2,FALSE)</f>
        <v>0</v>
      </c>
      <c r="Z49" s="1">
        <f>VLOOKUP(X49,[9]ölçme_sistemleri!I:L,3,FALSE)</f>
        <v>2</v>
      </c>
      <c r="AA49" s="1">
        <f>VLOOKUP(X49,[9]ölçme_sistemleri!I:L,4,FALSE)</f>
        <v>1</v>
      </c>
      <c r="AB49" s="1">
        <f>$O49*[9]ölçme_sistemleri!$J$13</f>
        <v>3</v>
      </c>
      <c r="AC49" s="1">
        <f>$O49*[9]ölçme_sistemleri!$K$13</f>
        <v>6</v>
      </c>
      <c r="AD49" s="1">
        <f>$O49*[9]ölçme_sistemleri!$L$13</f>
        <v>9</v>
      </c>
      <c r="AE49" s="1">
        <f t="shared" si="2"/>
        <v>0</v>
      </c>
      <c r="AF49" s="1">
        <f t="shared" si="3"/>
        <v>12</v>
      </c>
      <c r="AG49" s="1">
        <f t="shared" si="4"/>
        <v>9</v>
      </c>
      <c r="AH49" s="1">
        <f t="shared" si="5"/>
        <v>21</v>
      </c>
      <c r="AI49" s="1">
        <v>14</v>
      </c>
      <c r="AJ49" s="1">
        <f>VLOOKUP(X49,[9]ölçme_sistemleri!I:M,5,FALSE)</f>
        <v>2</v>
      </c>
      <c r="AK49" s="1">
        <f t="shared" si="6"/>
        <v>294</v>
      </c>
      <c r="AL49" s="1">
        <f t="shared" si="39"/>
        <v>42</v>
      </c>
      <c r="AM49" s="1">
        <f>VLOOKUP(X49,[9]ölçme_sistemleri!I:N,6,FALSE)</f>
        <v>3</v>
      </c>
      <c r="AN49" s="1">
        <v>2</v>
      </c>
      <c r="AO49" s="1">
        <f t="shared" si="7"/>
        <v>6</v>
      </c>
      <c r="AP49" s="1">
        <v>14</v>
      </c>
      <c r="AQ49" s="1">
        <f t="shared" si="8"/>
        <v>42</v>
      </c>
      <c r="AR49" s="1">
        <f t="shared" si="9"/>
        <v>111</v>
      </c>
      <c r="AS49" s="1">
        <f t="shared" si="40"/>
        <v>25</v>
      </c>
      <c r="AT49" s="1">
        <f t="shared" si="11"/>
        <v>4</v>
      </c>
      <c r="AU49" s="1">
        <f t="shared" si="12"/>
        <v>0</v>
      </c>
      <c r="AV49" s="1">
        <f t="shared" si="33"/>
        <v>0</v>
      </c>
      <c r="AW49" s="1">
        <f t="shared" si="34"/>
        <v>0</v>
      </c>
      <c r="AX49" s="1">
        <f t="shared" si="35"/>
        <v>0</v>
      </c>
      <c r="AY49" s="1">
        <f t="shared" si="16"/>
        <v>-21</v>
      </c>
      <c r="AZ49" s="1">
        <f t="shared" si="36"/>
        <v>0</v>
      </c>
      <c r="BA49" s="1">
        <f t="shared" si="18"/>
        <v>-42</v>
      </c>
      <c r="BB49" s="1">
        <f t="shared" si="31"/>
        <v>0</v>
      </c>
      <c r="BC49" s="1">
        <f t="shared" si="20"/>
        <v>-6</v>
      </c>
      <c r="BD49" s="1">
        <f t="shared" si="21"/>
        <v>0</v>
      </c>
      <c r="BE49" s="1" t="s">
        <v>65</v>
      </c>
      <c r="BF49" s="1">
        <f t="shared" si="37"/>
        <v>42</v>
      </c>
      <c r="BG49" s="1">
        <f t="shared" si="32"/>
        <v>42</v>
      </c>
      <c r="BH49" s="1">
        <f t="shared" si="24"/>
        <v>1</v>
      </c>
      <c r="BI49" s="1" t="e">
        <f>IF(BH49-#REF!=0,"DOĞRU","YANLIŞ")</f>
        <v>#REF!</v>
      </c>
      <c r="BJ49" s="1" t="e">
        <f>#REF!-BH49</f>
        <v>#REF!</v>
      </c>
      <c r="BK49" s="1">
        <v>0</v>
      </c>
      <c r="BM49" s="1">
        <v>0</v>
      </c>
      <c r="BO49" s="1">
        <v>0</v>
      </c>
      <c r="BT49" s="8">
        <f t="shared" si="38"/>
        <v>0</v>
      </c>
      <c r="BU49" s="9"/>
      <c r="BV49" s="10"/>
      <c r="BW49" s="11"/>
      <c r="BX49" s="11"/>
      <c r="BY49" s="11"/>
      <c r="BZ49" s="11"/>
      <c r="CA49" s="11"/>
      <c r="CB49" s="12"/>
      <c r="CC49" s="13"/>
      <c r="CD49" s="14"/>
      <c r="CL49" s="11"/>
      <c r="CM49" s="11"/>
      <c r="CN49" s="11"/>
      <c r="CO49" s="11"/>
      <c r="CP49" s="11"/>
      <c r="CQ49" s="49"/>
      <c r="CR49" s="46"/>
      <c r="CS49" s="48"/>
      <c r="CT49" s="48"/>
      <c r="CU49" s="48"/>
      <c r="CV49" s="48"/>
      <c r="CW49" s="49"/>
      <c r="CX49" s="49"/>
    </row>
    <row r="50" spans="1:102" hidden="1" x14ac:dyDescent="0.25">
      <c r="A50" s="1" t="s">
        <v>412</v>
      </c>
      <c r="B50" s="1" t="s">
        <v>413</v>
      </c>
      <c r="C50" s="1" t="s">
        <v>413</v>
      </c>
      <c r="D50" s="2" t="s">
        <v>63</v>
      </c>
      <c r="E50" s="2" t="s">
        <v>63</v>
      </c>
      <c r="F50" s="3" t="e">
        <f>IF(BE50="S",
IF(#REF!+BM50=2018,
IF(#REF!=1,"18-19/1",
IF(#REF!=2,"18-19/2",
IF(#REF!=3,"19-20/1",
IF(#REF!=4,"19-20/2",
IF(#REF!=5,"20-21/1",
IF(#REF!=6,"20-21/2",
IF(#REF!=7,"21-22/1",
IF(#REF!=8,"21-22/2","Hata1")))))))),
IF(#REF!+BM50=2019,
IF(#REF!=1,"19-20/1",
IF(#REF!=2,"19-20/2",
IF(#REF!=3,"20-21/1",
IF(#REF!=4,"20-21/2",
IF(#REF!=5,"21-22/1",
IF(#REF!=6,"21-22/2",
IF(#REF!=7,"22-23/1",
IF(#REF!=8,"22-23/2","Hata2")))))))),
IF(#REF!+BM50=2020,
IF(#REF!=1,"20-21/1",
IF(#REF!=2,"20-21/2",
IF(#REF!=3,"21-22/1",
IF(#REF!=4,"21-22/2",
IF(#REF!=5,"22-23/1",
IF(#REF!=6,"22-23/2",
IF(#REF!=7,"23-24/1",
IF(#REF!=8,"23-24/2","Hata3")))))))),
IF(#REF!+BM50=2021,
IF(#REF!=1,"21-22/1",
IF(#REF!=2,"21-22/2",
IF(#REF!=3,"22-23/1",
IF(#REF!=4,"22-23/2",
IF(#REF!=5,"23-24/1",
IF(#REF!=6,"23-24/2",
IF(#REF!=7,"24-25/1",
IF(#REF!=8,"24-25/2","Hata4")))))))),
IF(#REF!+BM50=2022,
IF(#REF!=1,"22-23/1",
IF(#REF!=2,"22-23/2",
IF(#REF!=3,"23-24/1",
IF(#REF!=4,"23-24/2",
IF(#REF!=5,"24-25/1",
IF(#REF!=6,"24-25/2",
IF(#REF!=7,"25-26/1",
IF(#REF!=8,"25-26/2","Hata5")))))))),
IF(#REF!+BM50=2023,
IF(#REF!=1,"23-24/1",
IF(#REF!=2,"23-24/2",
IF(#REF!=3,"24-25/1",
IF(#REF!=4,"24-25/2",
IF(#REF!=5,"25-26/1",
IF(#REF!=6,"25-26/2",
IF(#REF!=7,"26-27/1",
IF(#REF!=8,"26-27/2","Hata6")))))))),
)))))),
IF(BE50="T",
IF(#REF!+BM50=2018,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0" s="1" t="s">
        <v>59</v>
      </c>
      <c r="J50" s="1">
        <v>4234786</v>
      </c>
      <c r="N50" s="2">
        <v>3</v>
      </c>
      <c r="O50" s="6">
        <f t="shared" si="0"/>
        <v>2</v>
      </c>
      <c r="P50" s="2">
        <f t="shared" si="1"/>
        <v>2</v>
      </c>
      <c r="Q50" s="2">
        <v>0</v>
      </c>
      <c r="R50" s="2">
        <v>0</v>
      </c>
      <c r="S50" s="2">
        <v>2</v>
      </c>
      <c r="X50" s="3">
        <v>4</v>
      </c>
      <c r="Y50" s="1">
        <f>VLOOKUP(X50,[9]ölçme_sistemleri!I:L,2,FALSE)</f>
        <v>0</v>
      </c>
      <c r="Z50" s="1">
        <f>VLOOKUP(X50,[9]ölçme_sistemleri!I:L,3,FALSE)</f>
        <v>1</v>
      </c>
      <c r="AA50" s="1">
        <f>VLOOKUP(X50,[9]ölçme_sistemleri!I:L,4,FALSE)</f>
        <v>1</v>
      </c>
      <c r="AB50" s="1">
        <f>$O50*[9]ölçme_sistemleri!$J$13</f>
        <v>2</v>
      </c>
      <c r="AC50" s="1">
        <f>$O50*[9]ölçme_sistemleri!$K$13</f>
        <v>4</v>
      </c>
      <c r="AD50" s="1">
        <f>$O50*[9]ölçme_sistemleri!$L$13</f>
        <v>6</v>
      </c>
      <c r="AE50" s="1">
        <f t="shared" si="2"/>
        <v>0</v>
      </c>
      <c r="AF50" s="1">
        <f t="shared" si="3"/>
        <v>4</v>
      </c>
      <c r="AG50" s="1">
        <f t="shared" si="4"/>
        <v>6</v>
      </c>
      <c r="AH50" s="1">
        <f t="shared" si="5"/>
        <v>10</v>
      </c>
      <c r="AI50" s="1">
        <v>14</v>
      </c>
      <c r="AJ50" s="1">
        <f>VLOOKUP(X50,[9]ölçme_sistemleri!I:M,5,FALSE)</f>
        <v>1</v>
      </c>
      <c r="AK50" s="1">
        <f t="shared" si="6"/>
        <v>140</v>
      </c>
      <c r="AL50" s="1">
        <f t="shared" si="39"/>
        <v>28</v>
      </c>
      <c r="AM50" s="1">
        <f>VLOOKUP(X50,[9]ölçme_sistemleri!I:N,6,FALSE)</f>
        <v>2</v>
      </c>
      <c r="AN50" s="1">
        <v>2</v>
      </c>
      <c r="AO50" s="1">
        <f t="shared" si="7"/>
        <v>4</v>
      </c>
      <c r="AP50" s="1">
        <v>14</v>
      </c>
      <c r="AQ50" s="1">
        <f t="shared" si="8"/>
        <v>28</v>
      </c>
      <c r="AR50" s="1">
        <f t="shared" si="9"/>
        <v>70</v>
      </c>
      <c r="AS50" s="1">
        <f t="shared" si="40"/>
        <v>25</v>
      </c>
      <c r="AT50" s="1">
        <f t="shared" si="11"/>
        <v>3</v>
      </c>
      <c r="AU50" s="1">
        <f t="shared" si="12"/>
        <v>0</v>
      </c>
      <c r="AV50" s="1">
        <f t="shared" si="33"/>
        <v>0</v>
      </c>
      <c r="AW50" s="1">
        <f t="shared" si="34"/>
        <v>0</v>
      </c>
      <c r="AX50" s="1">
        <f t="shared" si="35"/>
        <v>0</v>
      </c>
      <c r="AY50" s="1">
        <f t="shared" si="16"/>
        <v>-10</v>
      </c>
      <c r="AZ50" s="1">
        <f t="shared" si="36"/>
        <v>0</v>
      </c>
      <c r="BA50" s="1">
        <f t="shared" si="18"/>
        <v>-28</v>
      </c>
      <c r="BB50" s="1">
        <f t="shared" si="31"/>
        <v>0</v>
      </c>
      <c r="BC50" s="1">
        <f t="shared" si="20"/>
        <v>-4</v>
      </c>
      <c r="BD50" s="1">
        <f t="shared" si="21"/>
        <v>0</v>
      </c>
      <c r="BE50" s="1" t="s">
        <v>65</v>
      </c>
      <c r="BF50" s="1">
        <f t="shared" si="37"/>
        <v>28</v>
      </c>
      <c r="BG50" s="1">
        <f t="shared" si="32"/>
        <v>28</v>
      </c>
      <c r="BH50" s="1">
        <f t="shared" si="24"/>
        <v>1</v>
      </c>
      <c r="BI50" s="1" t="e">
        <f>IF(BH50-#REF!=0,"DOĞRU","YANLIŞ")</f>
        <v>#REF!</v>
      </c>
      <c r="BJ50" s="1" t="e">
        <f>#REF!-BH50</f>
        <v>#REF!</v>
      </c>
      <c r="BK50" s="1">
        <v>0</v>
      </c>
      <c r="BM50" s="1">
        <v>0</v>
      </c>
      <c r="BO50" s="1">
        <v>0</v>
      </c>
      <c r="BT50" s="8">
        <f t="shared" si="38"/>
        <v>0</v>
      </c>
      <c r="BU50" s="9"/>
      <c r="BV50" s="10"/>
      <c r="BW50" s="11"/>
      <c r="BX50" s="11"/>
      <c r="BY50" s="11"/>
      <c r="BZ50" s="11"/>
      <c r="CA50" s="11"/>
      <c r="CB50" s="12"/>
      <c r="CC50" s="13"/>
      <c r="CD50" s="14"/>
      <c r="CL50" s="11"/>
      <c r="CM50" s="11"/>
      <c r="CN50" s="11"/>
      <c r="CO50" s="11"/>
      <c r="CP50" s="11"/>
      <c r="CQ50" s="49"/>
      <c r="CR50" s="46"/>
      <c r="CS50" s="49"/>
      <c r="CT50" s="48"/>
      <c r="CU50" s="48"/>
      <c r="CV50" s="48"/>
      <c r="CW50" s="49"/>
      <c r="CX50" s="49"/>
    </row>
    <row r="51" spans="1:102" hidden="1" x14ac:dyDescent="0.25">
      <c r="A51" s="1" t="s">
        <v>97</v>
      </c>
      <c r="B51" s="1" t="s">
        <v>98</v>
      </c>
      <c r="C51" s="1" t="s">
        <v>98</v>
      </c>
      <c r="D51" s="2" t="s">
        <v>63</v>
      </c>
      <c r="E51" s="2" t="s">
        <v>63</v>
      </c>
      <c r="F51" s="3" t="e">
        <f>IF(BE51="S",
IF(#REF!+BM51=2018,
IF(#REF!=1,"18-19/1",
IF(#REF!=2,"18-19/2",
IF(#REF!=3,"19-20/1",
IF(#REF!=4,"19-20/2",
IF(#REF!=5,"20-21/1",
IF(#REF!=6,"20-21/2",
IF(#REF!=7,"21-22/1",
IF(#REF!=8,"21-22/2","Hata1")))))))),
IF(#REF!+BM51=2019,
IF(#REF!=1,"19-20/1",
IF(#REF!=2,"19-20/2",
IF(#REF!=3,"20-21/1",
IF(#REF!=4,"20-21/2",
IF(#REF!=5,"21-22/1",
IF(#REF!=6,"21-22/2",
IF(#REF!=7,"22-23/1",
IF(#REF!=8,"22-23/2","Hata2")))))))),
IF(#REF!+BM51=2020,
IF(#REF!=1,"20-21/1",
IF(#REF!=2,"20-21/2",
IF(#REF!=3,"21-22/1",
IF(#REF!=4,"21-22/2",
IF(#REF!=5,"22-23/1",
IF(#REF!=6,"22-23/2",
IF(#REF!=7,"23-24/1",
IF(#REF!=8,"23-24/2","Hata3")))))))),
IF(#REF!+BM51=2021,
IF(#REF!=1,"21-22/1",
IF(#REF!=2,"21-22/2",
IF(#REF!=3,"22-23/1",
IF(#REF!=4,"22-23/2",
IF(#REF!=5,"23-24/1",
IF(#REF!=6,"23-24/2",
IF(#REF!=7,"24-25/1",
IF(#REF!=8,"24-25/2","Hata4")))))))),
IF(#REF!+BM51=2022,
IF(#REF!=1,"22-23/1",
IF(#REF!=2,"22-23/2",
IF(#REF!=3,"23-24/1",
IF(#REF!=4,"23-24/2",
IF(#REF!=5,"24-25/1",
IF(#REF!=6,"24-25/2",
IF(#REF!=7,"25-26/1",
IF(#REF!=8,"25-26/2","Hata5")))))))),
IF(#REF!+BM51=2023,
IF(#REF!=1,"23-24/1",
IF(#REF!=2,"23-24/2",
IF(#REF!=3,"24-25/1",
IF(#REF!=4,"24-25/2",
IF(#REF!=5,"25-26/1",
IF(#REF!=6,"25-26/2",
IF(#REF!=7,"26-27/1",
IF(#REF!=8,"26-27/2","Hata6")))))))),
)))))),
IF(BE51="T",
IF(#REF!+BM51=2018,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1" s="1" t="s">
        <v>64</v>
      </c>
      <c r="L51" s="2">
        <v>196</v>
      </c>
      <c r="N51" s="2">
        <v>4</v>
      </c>
      <c r="O51" s="6">
        <f t="shared" si="0"/>
        <v>3</v>
      </c>
      <c r="P51" s="2">
        <f t="shared" si="1"/>
        <v>3</v>
      </c>
      <c r="Q51" s="2">
        <v>3</v>
      </c>
      <c r="R51" s="2">
        <v>0</v>
      </c>
      <c r="S51" s="2">
        <v>0</v>
      </c>
      <c r="X51" s="3">
        <v>2</v>
      </c>
      <c r="Y51" s="1">
        <f>VLOOKUP(X51,[6]ölçme_sistemleri!I:L,2,FALSE)</f>
        <v>0</v>
      </c>
      <c r="Z51" s="1">
        <f>VLOOKUP(X51,[6]ölçme_sistemleri!I:L,3,FALSE)</f>
        <v>2</v>
      </c>
      <c r="AA51" s="1">
        <f>VLOOKUP(X51,[6]ölçme_sistemleri!I:L,4,FALSE)</f>
        <v>1</v>
      </c>
      <c r="AB51" s="1">
        <f>$O51*[6]ölçme_sistemleri!$J$13</f>
        <v>3</v>
      </c>
      <c r="AC51" s="1">
        <f>$O51*[6]ölçme_sistemleri!$K$13</f>
        <v>6</v>
      </c>
      <c r="AD51" s="1">
        <f>$O51*[6]ölçme_sistemleri!$L$13</f>
        <v>9</v>
      </c>
      <c r="AE51" s="1">
        <f t="shared" si="2"/>
        <v>0</v>
      </c>
      <c r="AF51" s="1">
        <f t="shared" si="3"/>
        <v>12</v>
      </c>
      <c r="AG51" s="1">
        <f t="shared" si="4"/>
        <v>9</v>
      </c>
      <c r="AH51" s="1">
        <f t="shared" si="5"/>
        <v>21</v>
      </c>
      <c r="AI51" s="1">
        <v>14</v>
      </c>
      <c r="AJ51" s="1">
        <f>VLOOKUP(X51,[6]ölçme_sistemleri!I:M,5,FALSE)</f>
        <v>2</v>
      </c>
      <c r="AK51" s="1">
        <f t="shared" si="6"/>
        <v>294</v>
      </c>
      <c r="AL51" s="1">
        <f t="shared" si="39"/>
        <v>42</v>
      </c>
      <c r="AM51" s="1">
        <f>VLOOKUP(X51,[6]ölçme_sistemleri!I:N,6,FALSE)</f>
        <v>3</v>
      </c>
      <c r="AN51" s="1">
        <v>2</v>
      </c>
      <c r="AO51" s="1">
        <f t="shared" si="7"/>
        <v>6</v>
      </c>
      <c r="AP51" s="1">
        <v>14</v>
      </c>
      <c r="AQ51" s="1">
        <f t="shared" si="8"/>
        <v>42</v>
      </c>
      <c r="AR51" s="1">
        <f t="shared" si="9"/>
        <v>111</v>
      </c>
      <c r="AS51" s="1">
        <f>IF(BE51="s",25,30)</f>
        <v>25</v>
      </c>
      <c r="AT51" s="1">
        <f t="shared" si="11"/>
        <v>4</v>
      </c>
      <c r="AU51" s="1">
        <f t="shared" si="12"/>
        <v>0</v>
      </c>
      <c r="AV51" s="1">
        <f t="shared" si="33"/>
        <v>0</v>
      </c>
      <c r="AW51" s="1">
        <f t="shared" si="34"/>
        <v>0</v>
      </c>
      <c r="AX51" s="1">
        <f t="shared" si="35"/>
        <v>0</v>
      </c>
      <c r="AY51" s="1">
        <f t="shared" si="16"/>
        <v>-21</v>
      </c>
      <c r="AZ51" s="1">
        <f t="shared" si="36"/>
        <v>0</v>
      </c>
      <c r="BA51" s="1">
        <f t="shared" si="18"/>
        <v>-42</v>
      </c>
      <c r="BB51" s="1">
        <f t="shared" si="31"/>
        <v>0</v>
      </c>
      <c r="BC51" s="1">
        <f t="shared" si="20"/>
        <v>-6</v>
      </c>
      <c r="BD51" s="1">
        <f t="shared" si="21"/>
        <v>0</v>
      </c>
      <c r="BE51" s="1" t="s">
        <v>65</v>
      </c>
      <c r="BF51" s="1">
        <f t="shared" si="37"/>
        <v>42</v>
      </c>
      <c r="BG51" s="1">
        <f t="shared" si="32"/>
        <v>42</v>
      </c>
      <c r="BH51" s="1">
        <f t="shared" si="24"/>
        <v>1</v>
      </c>
      <c r="BI51" s="1" t="e">
        <f>IF(BH51-#REF!=0,"DOĞRU","YANLIŞ")</f>
        <v>#REF!</v>
      </c>
      <c r="BJ51" s="1" t="e">
        <f>#REF!-BH51</f>
        <v>#REF!</v>
      </c>
      <c r="BK51" s="1">
        <v>0</v>
      </c>
      <c r="BM51" s="1">
        <v>0</v>
      </c>
      <c r="BO51" s="1">
        <v>4</v>
      </c>
      <c r="BT51" s="8">
        <f t="shared" si="38"/>
        <v>0</v>
      </c>
      <c r="BU51" s="9"/>
      <c r="BV51" s="10"/>
      <c r="BW51" s="11"/>
      <c r="BX51" s="11"/>
      <c r="BY51" s="11"/>
      <c r="BZ51" s="11"/>
      <c r="CA51" s="11"/>
      <c r="CB51" s="12"/>
      <c r="CC51" s="13"/>
      <c r="CD51" s="14"/>
      <c r="CL51" s="11"/>
      <c r="CM51" s="11"/>
      <c r="CN51" s="11"/>
      <c r="CO51" s="11"/>
      <c r="CP51" s="11"/>
      <c r="CQ51" s="49"/>
      <c r="CR51" s="46"/>
      <c r="CS51" s="49"/>
      <c r="CT51" s="48"/>
      <c r="CU51" s="49"/>
      <c r="CV51" s="48"/>
      <c r="CW51" s="49"/>
      <c r="CX51" s="49"/>
    </row>
    <row r="52" spans="1:102" hidden="1" x14ac:dyDescent="0.25">
      <c r="A52" s="1" t="s">
        <v>137</v>
      </c>
      <c r="B52" s="1" t="s">
        <v>138</v>
      </c>
      <c r="C52" s="1" t="s">
        <v>138</v>
      </c>
      <c r="D52" s="2" t="s">
        <v>63</v>
      </c>
      <c r="E52" s="2" t="s">
        <v>63</v>
      </c>
      <c r="F52" s="3" t="e">
        <f>IF(BE52="S",
IF(#REF!+BM52=2018,
IF(#REF!=1,"18-19/1",
IF(#REF!=2,"18-19/2",
IF(#REF!=3,"19-20/1",
IF(#REF!=4,"19-20/2",
IF(#REF!=5,"20-21/1",
IF(#REF!=6,"20-21/2",
IF(#REF!=7,"21-22/1",
IF(#REF!=8,"21-22/2","Hata1")))))))),
IF(#REF!+BM52=2019,
IF(#REF!=1,"19-20/1",
IF(#REF!=2,"19-20/2",
IF(#REF!=3,"20-21/1",
IF(#REF!=4,"20-21/2",
IF(#REF!=5,"21-22/1",
IF(#REF!=6,"21-22/2",
IF(#REF!=7,"22-23/1",
IF(#REF!=8,"22-23/2","Hata2")))))))),
IF(#REF!+BM52=2020,
IF(#REF!=1,"20-21/1",
IF(#REF!=2,"20-21/2",
IF(#REF!=3,"21-22/1",
IF(#REF!=4,"21-22/2",
IF(#REF!=5,"22-23/1",
IF(#REF!=6,"22-23/2",
IF(#REF!=7,"23-24/1",
IF(#REF!=8,"23-24/2","Hata3")))))))),
IF(#REF!+BM52=2021,
IF(#REF!=1,"21-22/1",
IF(#REF!=2,"21-22/2",
IF(#REF!=3,"22-23/1",
IF(#REF!=4,"22-23/2",
IF(#REF!=5,"23-24/1",
IF(#REF!=6,"23-24/2",
IF(#REF!=7,"24-25/1",
IF(#REF!=8,"24-25/2","Hata4")))))))),
IF(#REF!+BM52=2022,
IF(#REF!=1,"22-23/1",
IF(#REF!=2,"22-23/2",
IF(#REF!=3,"23-24/1",
IF(#REF!=4,"23-24/2",
IF(#REF!=5,"24-25/1",
IF(#REF!=6,"24-25/2",
IF(#REF!=7,"25-26/1",
IF(#REF!=8,"25-26/2","Hata5")))))))),
IF(#REF!+BM52=2023,
IF(#REF!=1,"23-24/1",
IF(#REF!=2,"23-24/2",
IF(#REF!=3,"24-25/1",
IF(#REF!=4,"24-25/2",
IF(#REF!=5,"25-26/1",
IF(#REF!=6,"25-26/2",
IF(#REF!=7,"26-27/1",
IF(#REF!=8,"26-27/2","Hata6")))))))),
)))))),
IF(BE52="T",
IF(#REF!+BM52=2018,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2" s="1" t="s">
        <v>64</v>
      </c>
      <c r="L52" s="2">
        <v>3103</v>
      </c>
      <c r="N52" s="2">
        <v>4</v>
      </c>
      <c r="O52" s="6">
        <f t="shared" si="0"/>
        <v>3</v>
      </c>
      <c r="P52" s="2">
        <f t="shared" si="1"/>
        <v>3</v>
      </c>
      <c r="Q52" s="2">
        <v>3</v>
      </c>
      <c r="R52" s="2">
        <v>0</v>
      </c>
      <c r="S52" s="2">
        <v>0</v>
      </c>
      <c r="X52" s="3">
        <v>2</v>
      </c>
      <c r="Y52" s="1">
        <f>VLOOKUP(X52,[6]ölçme_sistemleri!I:L,2,FALSE)</f>
        <v>0</v>
      </c>
      <c r="Z52" s="1">
        <f>VLOOKUP(X52,[6]ölçme_sistemleri!I:L,3,FALSE)</f>
        <v>2</v>
      </c>
      <c r="AA52" s="1">
        <f>VLOOKUP(X52,[6]ölçme_sistemleri!I:L,4,FALSE)</f>
        <v>1</v>
      </c>
      <c r="AB52" s="1">
        <f>$O52*[6]ölçme_sistemleri!$J$13</f>
        <v>3</v>
      </c>
      <c r="AC52" s="1">
        <f>$O52*[6]ölçme_sistemleri!$K$13</f>
        <v>6</v>
      </c>
      <c r="AD52" s="1">
        <f>$O52*[6]ölçme_sistemleri!$L$13</f>
        <v>9</v>
      </c>
      <c r="AE52" s="1">
        <f t="shared" si="2"/>
        <v>0</v>
      </c>
      <c r="AF52" s="1">
        <f t="shared" si="3"/>
        <v>12</v>
      </c>
      <c r="AG52" s="1">
        <f t="shared" si="4"/>
        <v>9</v>
      </c>
      <c r="AH52" s="1">
        <f t="shared" si="5"/>
        <v>21</v>
      </c>
      <c r="AI52" s="1">
        <v>14</v>
      </c>
      <c r="AJ52" s="1">
        <f>VLOOKUP(X52,[6]ölçme_sistemleri!I:M,5,FALSE)</f>
        <v>2</v>
      </c>
      <c r="AK52" s="1">
        <f t="shared" si="6"/>
        <v>294</v>
      </c>
      <c r="AL52" s="1">
        <f t="shared" si="39"/>
        <v>42</v>
      </c>
      <c r="AM52" s="1">
        <f>VLOOKUP(X52,[6]ölçme_sistemleri!I:N,6,FALSE)</f>
        <v>3</v>
      </c>
      <c r="AN52" s="1">
        <v>2</v>
      </c>
      <c r="AO52" s="1">
        <f t="shared" si="7"/>
        <v>6</v>
      </c>
      <c r="AP52" s="1">
        <v>14</v>
      </c>
      <c r="AQ52" s="1">
        <f t="shared" si="8"/>
        <v>42</v>
      </c>
      <c r="AR52" s="1">
        <f t="shared" si="9"/>
        <v>111</v>
      </c>
      <c r="AS52" s="1">
        <f>IF(BE52="s",25,30)</f>
        <v>25</v>
      </c>
      <c r="AT52" s="1">
        <f t="shared" si="11"/>
        <v>4</v>
      </c>
      <c r="AU52" s="1">
        <f t="shared" si="12"/>
        <v>0</v>
      </c>
      <c r="AV52" s="1">
        <f t="shared" si="33"/>
        <v>0</v>
      </c>
      <c r="AW52" s="1">
        <f t="shared" si="34"/>
        <v>0</v>
      </c>
      <c r="AX52" s="1">
        <f t="shared" si="35"/>
        <v>0</v>
      </c>
      <c r="AY52" s="1">
        <f t="shared" si="16"/>
        <v>-21</v>
      </c>
      <c r="AZ52" s="1">
        <f t="shared" si="36"/>
        <v>0</v>
      </c>
      <c r="BA52" s="1">
        <f t="shared" si="18"/>
        <v>-42</v>
      </c>
      <c r="BB52" s="1">
        <f t="shared" si="31"/>
        <v>0</v>
      </c>
      <c r="BC52" s="1">
        <f t="shared" si="20"/>
        <v>-6</v>
      </c>
      <c r="BD52" s="1">
        <f t="shared" si="21"/>
        <v>0</v>
      </c>
      <c r="BE52" s="1" t="s">
        <v>65</v>
      </c>
      <c r="BF52" s="1">
        <f t="shared" si="37"/>
        <v>42</v>
      </c>
      <c r="BG52" s="1">
        <f t="shared" si="32"/>
        <v>42</v>
      </c>
      <c r="BH52" s="1">
        <f t="shared" si="24"/>
        <v>1</v>
      </c>
      <c r="BI52" s="1" t="e">
        <f>IF(BH52-#REF!=0,"DOĞRU","YANLIŞ")</f>
        <v>#REF!</v>
      </c>
      <c r="BJ52" s="1" t="e">
        <f>#REF!-BH52</f>
        <v>#REF!</v>
      </c>
      <c r="BK52" s="1">
        <v>0</v>
      </c>
      <c r="BM52" s="1">
        <v>0</v>
      </c>
      <c r="BO52" s="1">
        <v>4</v>
      </c>
      <c r="BT52" s="8">
        <f t="shared" si="38"/>
        <v>0</v>
      </c>
      <c r="BU52" s="9"/>
      <c r="BV52" s="10"/>
      <c r="BW52" s="11"/>
      <c r="BX52" s="11"/>
      <c r="BY52" s="11"/>
      <c r="BZ52" s="11"/>
      <c r="CA52" s="11"/>
      <c r="CB52" s="12"/>
      <c r="CC52" s="13"/>
      <c r="CD52" s="14"/>
      <c r="CL52" s="11"/>
      <c r="CM52" s="11"/>
      <c r="CN52" s="11"/>
      <c r="CO52" s="11"/>
      <c r="CP52" s="11"/>
      <c r="CQ52" s="46"/>
      <c r="CR52" s="46"/>
      <c r="CS52" s="48"/>
      <c r="CT52" s="48"/>
      <c r="CU52" s="48"/>
      <c r="CV52" s="48"/>
      <c r="CW52" s="49"/>
      <c r="CX52" s="49"/>
    </row>
    <row r="53" spans="1:102" hidden="1" x14ac:dyDescent="0.25">
      <c r="A53" s="1" t="s">
        <v>357</v>
      </c>
      <c r="B53" s="1" t="s">
        <v>358</v>
      </c>
      <c r="C53" s="1" t="s">
        <v>358</v>
      </c>
      <c r="D53" s="2" t="s">
        <v>63</v>
      </c>
      <c r="E53" s="2" t="s">
        <v>63</v>
      </c>
      <c r="F53" s="3" t="e">
        <f>IF(BE53="S",
IF(#REF!+BM53=2018,
IF(#REF!=1,"18-19/1",
IF(#REF!=2,"18-19/2",
IF(#REF!=3,"19-20/1",
IF(#REF!=4,"19-20/2",
IF(#REF!=5,"20-21/1",
IF(#REF!=6,"20-21/2",
IF(#REF!=7,"21-22/1",
IF(#REF!=8,"21-22/2","Hata1")))))))),
IF(#REF!+BM53=2019,
IF(#REF!=1,"19-20/1",
IF(#REF!=2,"19-20/2",
IF(#REF!=3,"20-21/1",
IF(#REF!=4,"20-21/2",
IF(#REF!=5,"21-22/1",
IF(#REF!=6,"21-22/2",
IF(#REF!=7,"22-23/1",
IF(#REF!=8,"22-23/2","Hata2")))))))),
IF(#REF!+BM53=2020,
IF(#REF!=1,"20-21/1",
IF(#REF!=2,"20-21/2",
IF(#REF!=3,"21-22/1",
IF(#REF!=4,"21-22/2",
IF(#REF!=5,"22-23/1",
IF(#REF!=6,"22-23/2",
IF(#REF!=7,"23-24/1",
IF(#REF!=8,"23-24/2","Hata3")))))))),
IF(#REF!+BM53=2021,
IF(#REF!=1,"21-22/1",
IF(#REF!=2,"21-22/2",
IF(#REF!=3,"22-23/1",
IF(#REF!=4,"22-23/2",
IF(#REF!=5,"23-24/1",
IF(#REF!=6,"23-24/2",
IF(#REF!=7,"24-25/1",
IF(#REF!=8,"24-25/2","Hata4")))))))),
IF(#REF!+BM53=2022,
IF(#REF!=1,"22-23/1",
IF(#REF!=2,"22-23/2",
IF(#REF!=3,"23-24/1",
IF(#REF!=4,"23-24/2",
IF(#REF!=5,"24-25/1",
IF(#REF!=6,"24-25/2",
IF(#REF!=7,"25-26/1",
IF(#REF!=8,"25-26/2","Hata5")))))))),
IF(#REF!+BM53=2023,
IF(#REF!=1,"23-24/1",
IF(#REF!=2,"23-24/2",
IF(#REF!=3,"24-25/1",
IF(#REF!=4,"24-25/2",
IF(#REF!=5,"25-26/1",
IF(#REF!=6,"25-26/2",
IF(#REF!=7,"26-27/1",
IF(#REF!=8,"26-27/2","Hata6")))))))),
)))))),
IF(BE53="T",
IF(#REF!+BM53=2018,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3" s="1" t="s">
        <v>64</v>
      </c>
      <c r="L53" s="2">
        <v>4366</v>
      </c>
      <c r="N53" s="2">
        <v>1</v>
      </c>
      <c r="O53" s="6">
        <f t="shared" si="0"/>
        <v>1</v>
      </c>
      <c r="P53" s="2">
        <f t="shared" si="1"/>
        <v>1</v>
      </c>
      <c r="Q53" s="2">
        <v>1</v>
      </c>
      <c r="R53" s="2">
        <v>0</v>
      </c>
      <c r="S53" s="2">
        <v>0</v>
      </c>
      <c r="X53" s="3">
        <v>0</v>
      </c>
      <c r="Y53" s="1">
        <f>VLOOKUP(X53,[4]ölçme_sistemleri!I:L,2,FALSE)</f>
        <v>0</v>
      </c>
      <c r="Z53" s="1">
        <f>VLOOKUP(X53,[4]ölçme_sistemleri!I:L,3,FALSE)</f>
        <v>0</v>
      </c>
      <c r="AA53" s="1">
        <f>VLOOKUP(X53,[4]ölçme_sistemleri!I:L,4,FALSE)</f>
        <v>0</v>
      </c>
      <c r="AB53" s="1">
        <f>$O53*[4]ölçme_sistemleri!J$13</f>
        <v>1</v>
      </c>
      <c r="AC53" s="1">
        <f>$O53*[4]ölçme_sistemleri!K$13</f>
        <v>2</v>
      </c>
      <c r="AD53" s="1">
        <f>$O53*[4]ölçme_sistemleri!L$13</f>
        <v>3</v>
      </c>
      <c r="AE53" s="1">
        <f t="shared" si="2"/>
        <v>0</v>
      </c>
      <c r="AF53" s="1">
        <f t="shared" si="3"/>
        <v>0</v>
      </c>
      <c r="AG53" s="1">
        <f t="shared" si="4"/>
        <v>0</v>
      </c>
      <c r="AH53" s="1">
        <f t="shared" si="5"/>
        <v>0</v>
      </c>
      <c r="AI53" s="1">
        <v>14</v>
      </c>
      <c r="AJ53" s="1">
        <f>VLOOKUP(X53,[4]ölçme_sistemleri!I:M,5,FALSE)</f>
        <v>0</v>
      </c>
      <c r="AK53" s="1">
        <f t="shared" si="6"/>
        <v>0</v>
      </c>
      <c r="AL53" s="1">
        <f t="shared" si="39"/>
        <v>14</v>
      </c>
      <c r="AM53" s="1">
        <f>VLOOKUP(X53,[4]ölçme_sistemleri!I:N,6,FALSE)</f>
        <v>0</v>
      </c>
      <c r="AN53" s="1">
        <v>2</v>
      </c>
      <c r="AO53" s="1">
        <f t="shared" si="7"/>
        <v>0</v>
      </c>
      <c r="AP53" s="1">
        <v>14</v>
      </c>
      <c r="AQ53" s="1">
        <f t="shared" si="8"/>
        <v>14</v>
      </c>
      <c r="AR53" s="1">
        <f t="shared" si="9"/>
        <v>28</v>
      </c>
      <c r="AS53" s="1">
        <f>IF(BE53="s",25,25)</f>
        <v>25</v>
      </c>
      <c r="AT53" s="1">
        <f t="shared" si="11"/>
        <v>1</v>
      </c>
      <c r="AU53" s="1">
        <f t="shared" si="12"/>
        <v>0</v>
      </c>
      <c r="AV53" s="1">
        <f t="shared" si="33"/>
        <v>0</v>
      </c>
      <c r="AW53" s="1">
        <f t="shared" si="34"/>
        <v>0</v>
      </c>
      <c r="AX53" s="1">
        <f t="shared" si="35"/>
        <v>0</v>
      </c>
      <c r="AY53" s="1">
        <f t="shared" si="16"/>
        <v>-3</v>
      </c>
      <c r="AZ53" s="1">
        <f t="shared" si="36"/>
        <v>0</v>
      </c>
      <c r="BA53" s="1">
        <f t="shared" si="18"/>
        <v>-14</v>
      </c>
      <c r="BB53" s="1">
        <f t="shared" si="31"/>
        <v>0</v>
      </c>
      <c r="BC53" s="1">
        <f t="shared" si="20"/>
        <v>0</v>
      </c>
      <c r="BD53" s="1">
        <f t="shared" si="21"/>
        <v>0</v>
      </c>
      <c r="BE53" s="1" t="s">
        <v>65</v>
      </c>
      <c r="BF53" s="1">
        <f t="shared" si="37"/>
        <v>14</v>
      </c>
      <c r="BG53" s="1">
        <f t="shared" si="32"/>
        <v>14</v>
      </c>
      <c r="BH53" s="1">
        <f t="shared" si="24"/>
        <v>0</v>
      </c>
      <c r="BI53" s="1" t="e">
        <f>IF(BH53-#REF!=0,"DOĞRU","YANLIŞ")</f>
        <v>#REF!</v>
      </c>
      <c r="BJ53" s="1" t="e">
        <f>#REF!-BH53</f>
        <v>#REF!</v>
      </c>
      <c r="BK53" s="1">
        <v>0</v>
      </c>
      <c r="BM53" s="1">
        <v>0</v>
      </c>
      <c r="BO53" s="1">
        <v>0</v>
      </c>
      <c r="BT53" s="8">
        <f t="shared" si="38"/>
        <v>0</v>
      </c>
      <c r="BU53" s="9"/>
      <c r="BV53" s="10"/>
      <c r="BW53" s="11"/>
      <c r="BX53" s="11"/>
      <c r="BY53" s="11"/>
      <c r="BZ53" s="11"/>
      <c r="CA53" s="11"/>
      <c r="CB53" s="12"/>
      <c r="CC53" s="13"/>
      <c r="CD53" s="14"/>
      <c r="CL53" s="11"/>
      <c r="CM53" s="11"/>
      <c r="CN53" s="11"/>
      <c r="CO53" s="11"/>
      <c r="CP53" s="11"/>
      <c r="CQ53" s="54"/>
      <c r="CR53" s="55"/>
      <c r="CS53" s="48"/>
      <c r="CT53" s="48"/>
      <c r="CU53" s="48"/>
      <c r="CV53" s="48"/>
      <c r="CW53" s="49"/>
      <c r="CX53" s="49"/>
    </row>
    <row r="54" spans="1:102" hidden="1" x14ac:dyDescent="0.25">
      <c r="A54" s="1" t="s">
        <v>357</v>
      </c>
      <c r="B54" s="1" t="s">
        <v>358</v>
      </c>
      <c r="C54" s="1" t="s">
        <v>358</v>
      </c>
      <c r="D54" s="2" t="s">
        <v>63</v>
      </c>
      <c r="E54" s="2" t="s">
        <v>63</v>
      </c>
      <c r="F54" s="3" t="e">
        <f>IF(BE54="S",
IF(#REF!+BM54=2018,
IF(#REF!=1,"18-19/1",
IF(#REF!=2,"18-19/2",
IF(#REF!=3,"19-20/1",
IF(#REF!=4,"19-20/2",
IF(#REF!=5,"20-21/1",
IF(#REF!=6,"20-21/2",
IF(#REF!=7,"21-22/1",
IF(#REF!=8,"21-22/2","Hata1")))))))),
IF(#REF!+BM54=2019,
IF(#REF!=1,"19-20/1",
IF(#REF!=2,"19-20/2",
IF(#REF!=3,"20-21/1",
IF(#REF!=4,"20-21/2",
IF(#REF!=5,"21-22/1",
IF(#REF!=6,"21-22/2",
IF(#REF!=7,"22-23/1",
IF(#REF!=8,"22-23/2","Hata2")))))))),
IF(#REF!+BM54=2020,
IF(#REF!=1,"20-21/1",
IF(#REF!=2,"20-21/2",
IF(#REF!=3,"21-22/1",
IF(#REF!=4,"21-22/2",
IF(#REF!=5,"22-23/1",
IF(#REF!=6,"22-23/2",
IF(#REF!=7,"23-24/1",
IF(#REF!=8,"23-24/2","Hata3")))))))),
IF(#REF!+BM54=2021,
IF(#REF!=1,"21-22/1",
IF(#REF!=2,"21-22/2",
IF(#REF!=3,"22-23/1",
IF(#REF!=4,"22-23/2",
IF(#REF!=5,"23-24/1",
IF(#REF!=6,"23-24/2",
IF(#REF!=7,"24-25/1",
IF(#REF!=8,"24-25/2","Hata4")))))))),
IF(#REF!+BM54=2022,
IF(#REF!=1,"22-23/1",
IF(#REF!=2,"22-23/2",
IF(#REF!=3,"23-24/1",
IF(#REF!=4,"23-24/2",
IF(#REF!=5,"24-25/1",
IF(#REF!=6,"24-25/2",
IF(#REF!=7,"25-26/1",
IF(#REF!=8,"25-26/2","Hata5")))))))),
IF(#REF!+BM54=2023,
IF(#REF!=1,"23-24/1",
IF(#REF!=2,"23-24/2",
IF(#REF!=3,"24-25/1",
IF(#REF!=4,"24-25/2",
IF(#REF!=5,"25-26/1",
IF(#REF!=6,"25-26/2",
IF(#REF!=7,"26-27/1",
IF(#REF!=8,"26-27/2","Hata6")))))))),
)))))),
IF(BE54="T",
IF(#REF!+BM54=2018,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4" s="1" t="s">
        <v>64</v>
      </c>
      <c r="L54" s="2">
        <v>4366</v>
      </c>
      <c r="N54" s="2">
        <v>1</v>
      </c>
      <c r="O54" s="6">
        <f t="shared" si="0"/>
        <v>1</v>
      </c>
      <c r="P54" s="2">
        <f t="shared" si="1"/>
        <v>1</v>
      </c>
      <c r="Q54" s="2">
        <v>1</v>
      </c>
      <c r="R54" s="2">
        <v>0</v>
      </c>
      <c r="S54" s="2">
        <v>0</v>
      </c>
      <c r="X54" s="3">
        <v>0</v>
      </c>
      <c r="Y54" s="1">
        <f>VLOOKUP(X54,[4]ölçme_sistemleri!I:L,2,FALSE)</f>
        <v>0</v>
      </c>
      <c r="Z54" s="1">
        <f>VLOOKUP(X54,[4]ölçme_sistemleri!I:L,3,FALSE)</f>
        <v>0</v>
      </c>
      <c r="AA54" s="1">
        <f>VLOOKUP(X54,[4]ölçme_sistemleri!I:L,4,FALSE)</f>
        <v>0</v>
      </c>
      <c r="AB54" s="1">
        <f>$O54*[4]ölçme_sistemleri!J$13</f>
        <v>1</v>
      </c>
      <c r="AC54" s="1">
        <f>$O54*[4]ölçme_sistemleri!K$13</f>
        <v>2</v>
      </c>
      <c r="AD54" s="1">
        <f>$O54*[4]ölçme_sistemleri!L$13</f>
        <v>3</v>
      </c>
      <c r="AE54" s="1">
        <f t="shared" si="2"/>
        <v>0</v>
      </c>
      <c r="AF54" s="1">
        <f t="shared" si="3"/>
        <v>0</v>
      </c>
      <c r="AG54" s="1">
        <f t="shared" si="4"/>
        <v>0</v>
      </c>
      <c r="AH54" s="1">
        <f t="shared" si="5"/>
        <v>0</v>
      </c>
      <c r="AI54" s="1">
        <v>14</v>
      </c>
      <c r="AJ54" s="1">
        <f>VLOOKUP(X54,[4]ölçme_sistemleri!I:M,5,FALSE)</f>
        <v>0</v>
      </c>
      <c r="AK54" s="1">
        <f t="shared" si="6"/>
        <v>0</v>
      </c>
      <c r="AL54" s="1">
        <f t="shared" si="39"/>
        <v>14</v>
      </c>
      <c r="AM54" s="1">
        <f>VLOOKUP(X54,[4]ölçme_sistemleri!I:N,6,FALSE)</f>
        <v>0</v>
      </c>
      <c r="AN54" s="1">
        <v>2</v>
      </c>
      <c r="AO54" s="1">
        <f t="shared" si="7"/>
        <v>0</v>
      </c>
      <c r="AP54" s="1">
        <v>14</v>
      </c>
      <c r="AQ54" s="1">
        <f t="shared" si="8"/>
        <v>14</v>
      </c>
      <c r="AR54" s="1">
        <f t="shared" si="9"/>
        <v>28</v>
      </c>
      <c r="AS54" s="1">
        <f>IF(BE54="s",25,25)</f>
        <v>25</v>
      </c>
      <c r="AT54" s="1">
        <f t="shared" si="11"/>
        <v>1</v>
      </c>
      <c r="AU54" s="1">
        <f t="shared" si="12"/>
        <v>0</v>
      </c>
      <c r="AV54" s="1">
        <f t="shared" si="33"/>
        <v>0</v>
      </c>
      <c r="AW54" s="1">
        <f t="shared" si="34"/>
        <v>0</v>
      </c>
      <c r="AX54" s="1">
        <f t="shared" si="35"/>
        <v>0</v>
      </c>
      <c r="AY54" s="1">
        <f t="shared" si="16"/>
        <v>-3</v>
      </c>
      <c r="AZ54" s="1">
        <f t="shared" si="36"/>
        <v>0</v>
      </c>
      <c r="BA54" s="1">
        <f t="shared" si="18"/>
        <v>-14</v>
      </c>
      <c r="BB54" s="1">
        <f t="shared" si="31"/>
        <v>0</v>
      </c>
      <c r="BC54" s="1">
        <f t="shared" si="20"/>
        <v>0</v>
      </c>
      <c r="BD54" s="1">
        <f t="shared" si="21"/>
        <v>0</v>
      </c>
      <c r="BE54" s="1" t="s">
        <v>65</v>
      </c>
      <c r="BF54" s="1">
        <f t="shared" si="37"/>
        <v>14</v>
      </c>
      <c r="BG54" s="1">
        <f t="shared" si="32"/>
        <v>14</v>
      </c>
      <c r="BH54" s="1">
        <f t="shared" si="24"/>
        <v>0</v>
      </c>
      <c r="BI54" s="1" t="e">
        <f>IF(BH54-#REF!=0,"DOĞRU","YANLIŞ")</f>
        <v>#REF!</v>
      </c>
      <c r="BJ54" s="1" t="e">
        <f>#REF!-BH54</f>
        <v>#REF!</v>
      </c>
      <c r="BK54" s="1">
        <v>0</v>
      </c>
      <c r="BM54" s="1">
        <v>0</v>
      </c>
      <c r="BO54" s="1">
        <v>0</v>
      </c>
      <c r="BT54" s="8">
        <f t="shared" si="38"/>
        <v>0</v>
      </c>
      <c r="BU54" s="9"/>
      <c r="BV54" s="10"/>
      <c r="BW54" s="11"/>
      <c r="BX54" s="11"/>
      <c r="BY54" s="11"/>
      <c r="BZ54" s="11"/>
      <c r="CA54" s="11"/>
      <c r="CB54" s="12"/>
      <c r="CC54" s="13"/>
      <c r="CD54" s="14"/>
      <c r="CL54" s="11"/>
      <c r="CM54" s="11"/>
      <c r="CN54" s="11"/>
      <c r="CO54" s="11"/>
      <c r="CP54" s="11"/>
      <c r="CQ54" s="54"/>
      <c r="CR54" s="46"/>
      <c r="CS54" s="48"/>
      <c r="CT54" s="48"/>
      <c r="CU54" s="48"/>
      <c r="CV54" s="48"/>
      <c r="CW54" s="49"/>
      <c r="CX54" s="49"/>
    </row>
    <row r="55" spans="1:102" hidden="1" x14ac:dyDescent="0.25">
      <c r="A55" s="1" t="s">
        <v>61</v>
      </c>
      <c r="B55" s="1" t="s">
        <v>62</v>
      </c>
      <c r="C55" s="1" t="s">
        <v>62</v>
      </c>
      <c r="D55" s="2" t="s">
        <v>63</v>
      </c>
      <c r="E55" s="2" t="s">
        <v>63</v>
      </c>
      <c r="F55" s="3" t="e">
        <f>IF(BE55="S",
IF(#REF!+BM55=2018,
IF(#REF!=1,"18-19/1",
IF(#REF!=2,"18-19/2",
IF(#REF!=3,"19-20/1",
IF(#REF!=4,"19-20/2",
IF(#REF!=5,"20-21/1",
IF(#REF!=6,"20-21/2",
IF(#REF!=7,"21-22/1",
IF(#REF!=8,"21-22/2","Hata1")))))))),
IF(#REF!+BM55=2019,
IF(#REF!=1,"19-20/1",
IF(#REF!=2,"19-20/2",
IF(#REF!=3,"20-21/1",
IF(#REF!=4,"20-21/2",
IF(#REF!=5,"21-22/1",
IF(#REF!=6,"21-22/2",
IF(#REF!=7,"22-23/1",
IF(#REF!=8,"22-23/2","Hata2")))))))),
IF(#REF!+BM55=2020,
IF(#REF!=1,"20-21/1",
IF(#REF!=2,"20-21/2",
IF(#REF!=3,"21-22/1",
IF(#REF!=4,"21-22/2",
IF(#REF!=5,"22-23/1",
IF(#REF!=6,"22-23/2",
IF(#REF!=7,"23-24/1",
IF(#REF!=8,"23-24/2","Hata3")))))))),
IF(#REF!+BM55=2021,
IF(#REF!=1,"21-22/1",
IF(#REF!=2,"21-22/2",
IF(#REF!=3,"22-23/1",
IF(#REF!=4,"22-23/2",
IF(#REF!=5,"23-24/1",
IF(#REF!=6,"23-24/2",
IF(#REF!=7,"24-25/1",
IF(#REF!=8,"24-25/2","Hata4")))))))),
IF(#REF!+BM55=2022,
IF(#REF!=1,"22-23/1",
IF(#REF!=2,"22-23/2",
IF(#REF!=3,"23-24/1",
IF(#REF!=4,"23-24/2",
IF(#REF!=5,"24-25/1",
IF(#REF!=6,"24-25/2",
IF(#REF!=7,"25-26/1",
IF(#REF!=8,"25-26/2","Hata5")))))))),
IF(#REF!+BM55=2023,
IF(#REF!=1,"23-24/1",
IF(#REF!=2,"23-24/2",
IF(#REF!=3,"24-25/1",
IF(#REF!=4,"24-25/2",
IF(#REF!=5,"25-26/1",
IF(#REF!=6,"25-26/2",
IF(#REF!=7,"26-27/1",
IF(#REF!=8,"26-27/2","Hata6")))))))),
)))))),
IF(BE55="T",
IF(#REF!+BM55=2018,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5" s="1" t="s">
        <v>64</v>
      </c>
      <c r="L55" s="2">
        <v>3104</v>
      </c>
      <c r="N55" s="2">
        <v>5</v>
      </c>
      <c r="O55" s="6">
        <f t="shared" si="0"/>
        <v>3</v>
      </c>
      <c r="P55" s="2">
        <f t="shared" si="1"/>
        <v>4</v>
      </c>
      <c r="Q55" s="2">
        <v>0</v>
      </c>
      <c r="R55" s="2">
        <v>2</v>
      </c>
      <c r="S55" s="2">
        <v>2</v>
      </c>
      <c r="X55" s="3">
        <v>4</v>
      </c>
      <c r="Y55" s="1">
        <f>VLOOKUP($X55,[5]ölçme_sistemleri!I$1:L$65536,2,FALSE)</f>
        <v>0</v>
      </c>
      <c r="Z55" s="1">
        <f>VLOOKUP($X55,[5]ölçme_sistemleri!I$1:L$65536,3,FALSE)</f>
        <v>1</v>
      </c>
      <c r="AA55" s="1">
        <f>VLOOKUP($X55,[5]ölçme_sistemleri!I$1:L$65536,4,FALSE)</f>
        <v>1</v>
      </c>
      <c r="AB55" s="1">
        <f>$O55*[5]ölçme_sistemleri!J$13</f>
        <v>3</v>
      </c>
      <c r="AC55" s="1">
        <f>$O55*[5]ölçme_sistemleri!K$13</f>
        <v>6</v>
      </c>
      <c r="AD55" s="1">
        <f>$O55*[5]ölçme_sistemleri!L$13</f>
        <v>9</v>
      </c>
      <c r="AE55" s="1">
        <f t="shared" si="2"/>
        <v>0</v>
      </c>
      <c r="AF55" s="1">
        <f t="shared" si="3"/>
        <v>6</v>
      </c>
      <c r="AG55" s="1">
        <f t="shared" si="4"/>
        <v>9</v>
      </c>
      <c r="AH55" s="1">
        <f t="shared" si="5"/>
        <v>15</v>
      </c>
      <c r="AI55" s="1">
        <v>14</v>
      </c>
      <c r="AJ55" s="1">
        <f>VLOOKUP(X55,[5]ölçme_sistemleri!I$1:M$65536,5,FALSE)</f>
        <v>1</v>
      </c>
      <c r="AK55" s="1">
        <f t="shared" si="6"/>
        <v>210</v>
      </c>
      <c r="AL55" s="1">
        <f>AI55*3</f>
        <v>42</v>
      </c>
      <c r="AM55" s="1">
        <f>VLOOKUP(X55,[5]ölçme_sistemleri!I$1:N$65536,6,FALSE)</f>
        <v>2</v>
      </c>
      <c r="AN55" s="1">
        <v>2</v>
      </c>
      <c r="AO55" s="1">
        <f t="shared" si="7"/>
        <v>4</v>
      </c>
      <c r="AP55" s="1">
        <v>14</v>
      </c>
      <c r="AQ55" s="1">
        <f t="shared" si="8"/>
        <v>56</v>
      </c>
      <c r="AR55" s="1">
        <f t="shared" si="9"/>
        <v>117</v>
      </c>
      <c r="AS55" s="1">
        <f t="shared" ref="AS55:AS62" si="41">IF(BE55="s",25,30)</f>
        <v>25</v>
      </c>
      <c r="AT55" s="1">
        <f t="shared" si="11"/>
        <v>5</v>
      </c>
      <c r="AU55" s="1">
        <f t="shared" si="12"/>
        <v>0</v>
      </c>
      <c r="AV55" s="1">
        <f t="shared" si="33"/>
        <v>0</v>
      </c>
      <c r="AW55" s="1">
        <f t="shared" si="34"/>
        <v>0</v>
      </c>
      <c r="AX55" s="1">
        <f t="shared" si="35"/>
        <v>0</v>
      </c>
      <c r="AY55" s="1">
        <f t="shared" si="16"/>
        <v>-15</v>
      </c>
      <c r="AZ55" s="1">
        <f t="shared" si="36"/>
        <v>0</v>
      </c>
      <c r="BA55" s="1">
        <f t="shared" si="18"/>
        <v>-42</v>
      </c>
      <c r="BB55" s="1">
        <f t="shared" si="31"/>
        <v>0</v>
      </c>
      <c r="BC55" s="1">
        <f t="shared" si="20"/>
        <v>-4</v>
      </c>
      <c r="BD55" s="1">
        <f t="shared" si="21"/>
        <v>0</v>
      </c>
      <c r="BE55" s="1" t="s">
        <v>65</v>
      </c>
      <c r="BF55" s="1">
        <f t="shared" si="37"/>
        <v>42</v>
      </c>
      <c r="BG55" s="1">
        <f t="shared" si="32"/>
        <v>42</v>
      </c>
      <c r="BH55" s="1">
        <f t="shared" si="24"/>
        <v>1</v>
      </c>
      <c r="BI55" s="1" t="e">
        <f>IF(BH55-#REF!=0,"DOĞRU","YANLIŞ")</f>
        <v>#REF!</v>
      </c>
      <c r="BJ55" s="1" t="e">
        <f>#REF!-BH55</f>
        <v>#REF!</v>
      </c>
      <c r="BK55" s="1">
        <v>0</v>
      </c>
      <c r="BM55" s="1">
        <v>0</v>
      </c>
      <c r="BO55" s="1">
        <v>4</v>
      </c>
      <c r="BT55" s="8">
        <f t="shared" si="38"/>
        <v>28</v>
      </c>
      <c r="BU55" s="9"/>
      <c r="BV55" s="10"/>
      <c r="BW55" s="11"/>
      <c r="BX55" s="11"/>
      <c r="BY55" s="11"/>
      <c r="BZ55" s="11"/>
      <c r="CA55" s="11"/>
      <c r="CB55" s="12"/>
      <c r="CC55" s="13"/>
      <c r="CD55" s="14"/>
      <c r="CL55" s="11"/>
      <c r="CM55" s="11"/>
      <c r="CN55" s="11"/>
      <c r="CO55" s="11"/>
      <c r="CP55" s="11"/>
      <c r="CQ55" s="46"/>
      <c r="CR55" s="46"/>
      <c r="CS55" s="48"/>
      <c r="CT55" s="48"/>
      <c r="CU55" s="48"/>
      <c r="CV55" s="48"/>
      <c r="CW55" s="49"/>
      <c r="CX55" s="49"/>
    </row>
    <row r="56" spans="1:102" hidden="1" x14ac:dyDescent="0.25">
      <c r="A56" s="1" t="s">
        <v>87</v>
      </c>
      <c r="B56" s="1" t="s">
        <v>88</v>
      </c>
      <c r="C56" s="1" t="s">
        <v>88</v>
      </c>
      <c r="D56" s="2" t="s">
        <v>63</v>
      </c>
      <c r="E56" s="2" t="s">
        <v>63</v>
      </c>
      <c r="F56" s="3" t="e">
        <f>IF(BE56="S",
IF(#REF!+BM56=2018,
IF(#REF!=1,"18-19/1",
IF(#REF!=2,"18-19/2",
IF(#REF!=3,"19-20/1",
IF(#REF!=4,"19-20/2",
IF(#REF!=5,"20-21/1",
IF(#REF!=6,"20-21/2",
IF(#REF!=7,"21-22/1",
IF(#REF!=8,"21-22/2","Hata1")))))))),
IF(#REF!+BM56=2019,
IF(#REF!=1,"19-20/1",
IF(#REF!=2,"19-20/2",
IF(#REF!=3,"20-21/1",
IF(#REF!=4,"20-21/2",
IF(#REF!=5,"21-22/1",
IF(#REF!=6,"21-22/2",
IF(#REF!=7,"22-23/1",
IF(#REF!=8,"22-23/2","Hata2")))))))),
IF(#REF!+BM56=2020,
IF(#REF!=1,"20-21/1",
IF(#REF!=2,"20-21/2",
IF(#REF!=3,"21-22/1",
IF(#REF!=4,"21-22/2",
IF(#REF!=5,"22-23/1",
IF(#REF!=6,"22-23/2",
IF(#REF!=7,"23-24/1",
IF(#REF!=8,"23-24/2","Hata3")))))))),
IF(#REF!+BM56=2021,
IF(#REF!=1,"21-22/1",
IF(#REF!=2,"21-22/2",
IF(#REF!=3,"22-23/1",
IF(#REF!=4,"22-23/2",
IF(#REF!=5,"23-24/1",
IF(#REF!=6,"23-24/2",
IF(#REF!=7,"24-25/1",
IF(#REF!=8,"24-25/2","Hata4")))))))),
IF(#REF!+BM56=2022,
IF(#REF!=1,"22-23/1",
IF(#REF!=2,"22-23/2",
IF(#REF!=3,"23-24/1",
IF(#REF!=4,"23-24/2",
IF(#REF!=5,"24-25/1",
IF(#REF!=6,"24-25/2",
IF(#REF!=7,"25-26/1",
IF(#REF!=8,"25-26/2","Hata5")))))))),
IF(#REF!+BM56=2023,
IF(#REF!=1,"23-24/1",
IF(#REF!=2,"23-24/2",
IF(#REF!=3,"24-25/1",
IF(#REF!=4,"24-25/2",
IF(#REF!=5,"25-26/1",
IF(#REF!=6,"25-26/2",
IF(#REF!=7,"26-27/1",
IF(#REF!=8,"26-27/2","Hata6")))))))),
)))))),
IF(BE56="T",
IF(#REF!+BM56=2018,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6" s="1" t="s">
        <v>64</v>
      </c>
      <c r="L56" s="2">
        <v>3428</v>
      </c>
      <c r="N56" s="2">
        <v>5</v>
      </c>
      <c r="O56" s="6">
        <f t="shared" si="0"/>
        <v>3</v>
      </c>
      <c r="P56" s="2">
        <f t="shared" si="1"/>
        <v>3</v>
      </c>
      <c r="Q56" s="2">
        <v>3</v>
      </c>
      <c r="R56" s="2">
        <v>0</v>
      </c>
      <c r="S56" s="2">
        <v>0</v>
      </c>
      <c r="X56" s="3">
        <v>3</v>
      </c>
      <c r="Y56" s="1">
        <f>VLOOKUP($X56,[5]ölçme_sistemleri!I$1:L$65536,2,FALSE)</f>
        <v>2</v>
      </c>
      <c r="Z56" s="1">
        <f>VLOOKUP($X56,[5]ölçme_sistemleri!I$1:L$65536,3,FALSE)</f>
        <v>1</v>
      </c>
      <c r="AA56" s="1">
        <f>VLOOKUP($X56,[5]ölçme_sistemleri!I$1:L$65536,4,FALSE)</f>
        <v>1</v>
      </c>
      <c r="AB56" s="1">
        <f>$O56*[5]ölçme_sistemleri!J$13</f>
        <v>3</v>
      </c>
      <c r="AC56" s="1">
        <f>$O56*[5]ölçme_sistemleri!K$13</f>
        <v>6</v>
      </c>
      <c r="AD56" s="1">
        <f>$O56*[5]ölçme_sistemleri!L$13</f>
        <v>9</v>
      </c>
      <c r="AE56" s="1">
        <f t="shared" si="2"/>
        <v>6</v>
      </c>
      <c r="AF56" s="1">
        <f t="shared" si="3"/>
        <v>6</v>
      </c>
      <c r="AG56" s="1">
        <f t="shared" si="4"/>
        <v>9</v>
      </c>
      <c r="AH56" s="1">
        <f t="shared" si="5"/>
        <v>21</v>
      </c>
      <c r="AI56" s="1">
        <v>14</v>
      </c>
      <c r="AJ56" s="1">
        <f>VLOOKUP(X56,[5]ölçme_sistemleri!I$1:M$65536,5,FALSE)</f>
        <v>3</v>
      </c>
      <c r="AK56" s="1">
        <f t="shared" si="6"/>
        <v>294</v>
      </c>
      <c r="AL56" s="1">
        <f>AI56*4</f>
        <v>56</v>
      </c>
      <c r="AM56" s="1">
        <f>VLOOKUP(X56,[5]ölçme_sistemleri!I$1:N$65536,6,FALSE)</f>
        <v>4</v>
      </c>
      <c r="AN56" s="1">
        <v>2</v>
      </c>
      <c r="AO56" s="1">
        <f t="shared" si="7"/>
        <v>8</v>
      </c>
      <c r="AP56" s="1">
        <v>14</v>
      </c>
      <c r="AQ56" s="1">
        <f t="shared" si="8"/>
        <v>42</v>
      </c>
      <c r="AR56" s="1">
        <f t="shared" si="9"/>
        <v>127</v>
      </c>
      <c r="AS56" s="1">
        <f t="shared" si="41"/>
        <v>25</v>
      </c>
      <c r="AT56" s="1">
        <f t="shared" si="11"/>
        <v>5</v>
      </c>
      <c r="AU56" s="1">
        <f t="shared" si="12"/>
        <v>0</v>
      </c>
      <c r="AV56" s="1">
        <f t="shared" si="33"/>
        <v>0</v>
      </c>
      <c r="AW56" s="1">
        <f t="shared" si="34"/>
        <v>0</v>
      </c>
      <c r="AX56" s="1">
        <f t="shared" si="35"/>
        <v>0</v>
      </c>
      <c r="AY56" s="1">
        <f t="shared" si="16"/>
        <v>-21</v>
      </c>
      <c r="AZ56" s="1">
        <f t="shared" si="36"/>
        <v>0</v>
      </c>
      <c r="BA56" s="1">
        <f t="shared" si="18"/>
        <v>-56</v>
      </c>
      <c r="BB56" s="1">
        <f t="shared" si="31"/>
        <v>0</v>
      </c>
      <c r="BC56" s="1">
        <f t="shared" si="20"/>
        <v>-8</v>
      </c>
      <c r="BD56" s="1">
        <f t="shared" si="21"/>
        <v>0</v>
      </c>
      <c r="BE56" s="1" t="s">
        <v>65</v>
      </c>
      <c r="BF56" s="1">
        <f t="shared" si="37"/>
        <v>42</v>
      </c>
      <c r="BG56" s="1">
        <f t="shared" si="32"/>
        <v>42</v>
      </c>
      <c r="BH56" s="1">
        <f t="shared" si="24"/>
        <v>1</v>
      </c>
      <c r="BI56" s="1" t="e">
        <f>IF(BH56-#REF!=0,"DOĞRU","YANLIŞ")</f>
        <v>#REF!</v>
      </c>
      <c r="BJ56" s="1" t="e">
        <f>#REF!-BH56</f>
        <v>#REF!</v>
      </c>
      <c r="BK56" s="1">
        <v>1</v>
      </c>
      <c r="BM56" s="1">
        <v>0</v>
      </c>
      <c r="BO56" s="1">
        <v>4</v>
      </c>
      <c r="BT56" s="8">
        <f t="shared" si="38"/>
        <v>0</v>
      </c>
      <c r="BU56" s="9"/>
      <c r="BV56" s="10"/>
      <c r="BW56" s="11"/>
      <c r="BX56" s="11"/>
      <c r="BY56" s="11"/>
      <c r="BZ56" s="11"/>
      <c r="CA56" s="11"/>
      <c r="CB56" s="12"/>
      <c r="CC56" s="13"/>
      <c r="CD56" s="14"/>
      <c r="CL56" s="11"/>
      <c r="CM56" s="11"/>
      <c r="CN56" s="11"/>
      <c r="CO56" s="11"/>
      <c r="CP56" s="11"/>
      <c r="CQ56" s="54"/>
      <c r="CR56" s="46"/>
      <c r="CS56" s="48"/>
      <c r="CT56" s="48"/>
      <c r="CU56" s="48"/>
      <c r="CV56" s="48"/>
      <c r="CW56" s="49"/>
      <c r="CX56" s="49"/>
    </row>
    <row r="57" spans="1:102" hidden="1" x14ac:dyDescent="0.25">
      <c r="A57" s="1" t="s">
        <v>85</v>
      </c>
      <c r="B57" s="1" t="s">
        <v>86</v>
      </c>
      <c r="C57" s="1" t="s">
        <v>86</v>
      </c>
      <c r="D57" s="2" t="s">
        <v>63</v>
      </c>
      <c r="E57" s="2" t="s">
        <v>63</v>
      </c>
      <c r="F57" s="3" t="e">
        <f>IF(BE57="S",
IF(#REF!+BM57=2018,
IF(#REF!=1,"18-19/1",
IF(#REF!=2,"18-19/2",
IF(#REF!=3,"19-20/1",
IF(#REF!=4,"19-20/2",
IF(#REF!=5,"20-21/1",
IF(#REF!=6,"20-21/2",
IF(#REF!=7,"21-22/1",
IF(#REF!=8,"21-22/2","Hata1")))))))),
IF(#REF!+BM57=2019,
IF(#REF!=1,"19-20/1",
IF(#REF!=2,"19-20/2",
IF(#REF!=3,"20-21/1",
IF(#REF!=4,"20-21/2",
IF(#REF!=5,"21-22/1",
IF(#REF!=6,"21-22/2",
IF(#REF!=7,"22-23/1",
IF(#REF!=8,"22-23/2","Hata2")))))))),
IF(#REF!+BM57=2020,
IF(#REF!=1,"20-21/1",
IF(#REF!=2,"20-21/2",
IF(#REF!=3,"21-22/1",
IF(#REF!=4,"21-22/2",
IF(#REF!=5,"22-23/1",
IF(#REF!=6,"22-23/2",
IF(#REF!=7,"23-24/1",
IF(#REF!=8,"23-24/2","Hata3")))))))),
IF(#REF!+BM57=2021,
IF(#REF!=1,"21-22/1",
IF(#REF!=2,"21-22/2",
IF(#REF!=3,"22-23/1",
IF(#REF!=4,"22-23/2",
IF(#REF!=5,"23-24/1",
IF(#REF!=6,"23-24/2",
IF(#REF!=7,"24-25/1",
IF(#REF!=8,"24-25/2","Hata4")))))))),
IF(#REF!+BM57=2022,
IF(#REF!=1,"22-23/1",
IF(#REF!=2,"22-23/2",
IF(#REF!=3,"23-24/1",
IF(#REF!=4,"23-24/2",
IF(#REF!=5,"24-25/1",
IF(#REF!=6,"24-25/2",
IF(#REF!=7,"25-26/1",
IF(#REF!=8,"25-26/2","Hata5")))))))),
IF(#REF!+BM57=2023,
IF(#REF!=1,"23-24/1",
IF(#REF!=2,"23-24/2",
IF(#REF!=3,"24-25/1",
IF(#REF!=4,"24-25/2",
IF(#REF!=5,"25-26/1",
IF(#REF!=6,"25-26/2",
IF(#REF!=7,"26-27/1",
IF(#REF!=8,"26-27/2","Hata6")))))))),
)))))),
IF(BE57="T",
IF(#REF!+BM57=2018,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7" s="1" t="s">
        <v>64</v>
      </c>
      <c r="L57" s="2">
        <v>3429</v>
      </c>
      <c r="N57" s="2">
        <v>5</v>
      </c>
      <c r="O57" s="6">
        <f t="shared" si="0"/>
        <v>3</v>
      </c>
      <c r="P57" s="2">
        <f t="shared" si="1"/>
        <v>3</v>
      </c>
      <c r="Q57" s="2">
        <v>3</v>
      </c>
      <c r="R57" s="2">
        <v>0</v>
      </c>
      <c r="S57" s="2">
        <v>0</v>
      </c>
      <c r="X57" s="3">
        <v>3</v>
      </c>
      <c r="Y57" s="1">
        <f>VLOOKUP($X57,[5]ölçme_sistemleri!I$1:L$65536,2,FALSE)</f>
        <v>2</v>
      </c>
      <c r="Z57" s="1">
        <f>VLOOKUP($X57,[5]ölçme_sistemleri!I$1:L$65536,3,FALSE)</f>
        <v>1</v>
      </c>
      <c r="AA57" s="1">
        <f>VLOOKUP($X57,[5]ölçme_sistemleri!I$1:L$65536,4,FALSE)</f>
        <v>1</v>
      </c>
      <c r="AB57" s="1">
        <f>$O57*[5]ölçme_sistemleri!J$13</f>
        <v>3</v>
      </c>
      <c r="AC57" s="1">
        <f>$O57*[5]ölçme_sistemleri!K$13</f>
        <v>6</v>
      </c>
      <c r="AD57" s="1">
        <f>$O57*[5]ölçme_sistemleri!L$13</f>
        <v>9</v>
      </c>
      <c r="AE57" s="1">
        <f t="shared" si="2"/>
        <v>6</v>
      </c>
      <c r="AF57" s="1">
        <f t="shared" si="3"/>
        <v>6</v>
      </c>
      <c r="AG57" s="1">
        <f t="shared" si="4"/>
        <v>9</v>
      </c>
      <c r="AH57" s="1">
        <f t="shared" si="5"/>
        <v>21</v>
      </c>
      <c r="AI57" s="1">
        <v>14</v>
      </c>
      <c r="AJ57" s="1">
        <f>VLOOKUP(X57,[5]ölçme_sistemleri!I$1:M$65536,5,FALSE)</f>
        <v>3</v>
      </c>
      <c r="AK57" s="1">
        <f t="shared" si="6"/>
        <v>294</v>
      </c>
      <c r="AL57" s="1">
        <f>AI57*4</f>
        <v>56</v>
      </c>
      <c r="AM57" s="1">
        <f>VLOOKUP(X57,[5]ölçme_sistemleri!I$1:N$65536,6,FALSE)</f>
        <v>4</v>
      </c>
      <c r="AN57" s="1">
        <v>2</v>
      </c>
      <c r="AO57" s="1">
        <f t="shared" si="7"/>
        <v>8</v>
      </c>
      <c r="AP57" s="1">
        <v>14</v>
      </c>
      <c r="AQ57" s="1">
        <f t="shared" si="8"/>
        <v>42</v>
      </c>
      <c r="AR57" s="1">
        <f t="shared" si="9"/>
        <v>127</v>
      </c>
      <c r="AS57" s="1">
        <f t="shared" si="41"/>
        <v>25</v>
      </c>
      <c r="AT57" s="1">
        <f t="shared" si="11"/>
        <v>5</v>
      </c>
      <c r="AU57" s="1">
        <f t="shared" si="12"/>
        <v>0</v>
      </c>
      <c r="AV57" s="1">
        <f t="shared" si="33"/>
        <v>0</v>
      </c>
      <c r="AW57" s="1">
        <f t="shared" si="34"/>
        <v>0</v>
      </c>
      <c r="AX57" s="1">
        <f t="shared" si="35"/>
        <v>0</v>
      </c>
      <c r="AY57" s="1">
        <f t="shared" si="16"/>
        <v>-21</v>
      </c>
      <c r="AZ57" s="1">
        <f t="shared" si="36"/>
        <v>0</v>
      </c>
      <c r="BA57" s="1">
        <f t="shared" si="18"/>
        <v>-56</v>
      </c>
      <c r="BB57" s="1">
        <f t="shared" si="31"/>
        <v>0</v>
      </c>
      <c r="BC57" s="1">
        <f t="shared" si="20"/>
        <v>-8</v>
      </c>
      <c r="BD57" s="1">
        <f t="shared" si="21"/>
        <v>0</v>
      </c>
      <c r="BE57" s="1" t="s">
        <v>65</v>
      </c>
      <c r="BF57" s="1">
        <f t="shared" si="37"/>
        <v>42</v>
      </c>
      <c r="BG57" s="1">
        <f t="shared" si="32"/>
        <v>42</v>
      </c>
      <c r="BH57" s="1">
        <f t="shared" si="24"/>
        <v>1</v>
      </c>
      <c r="BI57" s="1" t="e">
        <f>IF(BH57-#REF!=0,"DOĞRU","YANLIŞ")</f>
        <v>#REF!</v>
      </c>
      <c r="BJ57" s="1" t="e">
        <f>#REF!-BH57</f>
        <v>#REF!</v>
      </c>
      <c r="BK57" s="1">
        <v>1</v>
      </c>
      <c r="BM57" s="1">
        <v>0</v>
      </c>
      <c r="BO57" s="1">
        <v>4</v>
      </c>
      <c r="BT57" s="8">
        <f t="shared" si="38"/>
        <v>0</v>
      </c>
      <c r="BU57" s="9"/>
      <c r="BV57" s="10"/>
      <c r="BW57" s="11"/>
      <c r="BX57" s="11"/>
      <c r="BY57" s="11"/>
      <c r="BZ57" s="11"/>
      <c r="CA57" s="11"/>
      <c r="CB57" s="12"/>
      <c r="CC57" s="13"/>
      <c r="CD57" s="14"/>
      <c r="CL57" s="11"/>
      <c r="CM57" s="11"/>
      <c r="CN57" s="11"/>
      <c r="CO57" s="11"/>
      <c r="CP57" s="11"/>
      <c r="CQ57" s="54"/>
      <c r="CR57" s="46"/>
      <c r="CS57" s="54"/>
      <c r="CT57" s="48"/>
      <c r="CU57" s="48"/>
      <c r="CV57" s="48"/>
      <c r="CW57" s="49"/>
      <c r="CX57" s="49"/>
    </row>
    <row r="58" spans="1:102" hidden="1" x14ac:dyDescent="0.25">
      <c r="A58" s="1" t="s">
        <v>76</v>
      </c>
      <c r="B58" s="1" t="s">
        <v>77</v>
      </c>
      <c r="C58" s="1" t="s">
        <v>77</v>
      </c>
      <c r="D58" s="2" t="s">
        <v>58</v>
      </c>
      <c r="E58" s="2" t="s">
        <v>58</v>
      </c>
      <c r="F58" s="3" t="e">
        <f>IF(BE58="S",
IF(#REF!+BM58=2018,
IF(#REF!=1,"18-19/1",
IF(#REF!=2,"18-19/2",
IF(#REF!=3,"19-20/1",
IF(#REF!=4,"19-20/2",
IF(#REF!=5,"20-21/1",
IF(#REF!=6,"20-21/2",
IF(#REF!=7,"21-22/1",
IF(#REF!=8,"21-22/2","Hata1")))))))),
IF(#REF!+BM58=2019,
IF(#REF!=1,"19-20/1",
IF(#REF!=2,"19-20/2",
IF(#REF!=3,"20-21/1",
IF(#REF!=4,"20-21/2",
IF(#REF!=5,"21-22/1",
IF(#REF!=6,"21-22/2",
IF(#REF!=7,"22-23/1",
IF(#REF!=8,"22-23/2","Hata2")))))))),
IF(#REF!+BM58=2020,
IF(#REF!=1,"20-21/1",
IF(#REF!=2,"20-21/2",
IF(#REF!=3,"21-22/1",
IF(#REF!=4,"21-22/2",
IF(#REF!=5,"22-23/1",
IF(#REF!=6,"22-23/2",
IF(#REF!=7,"23-24/1",
IF(#REF!=8,"23-24/2","Hata3")))))))),
IF(#REF!+BM58=2021,
IF(#REF!=1,"21-22/1",
IF(#REF!=2,"21-22/2",
IF(#REF!=3,"22-23/1",
IF(#REF!=4,"22-23/2",
IF(#REF!=5,"23-24/1",
IF(#REF!=6,"23-24/2",
IF(#REF!=7,"24-25/1",
IF(#REF!=8,"24-25/2","Hata4")))))))),
IF(#REF!+BM58=2022,
IF(#REF!=1,"22-23/1",
IF(#REF!=2,"22-23/2",
IF(#REF!=3,"23-24/1",
IF(#REF!=4,"23-24/2",
IF(#REF!=5,"24-25/1",
IF(#REF!=6,"24-25/2",
IF(#REF!=7,"25-26/1",
IF(#REF!=8,"25-26/2","Hata5")))))))),
IF(#REF!+BM58=2023,
IF(#REF!=1,"23-24/1",
IF(#REF!=2,"23-24/2",
IF(#REF!=3,"24-25/1",
IF(#REF!=4,"24-25/2",
IF(#REF!=5,"25-26/1",
IF(#REF!=6,"25-26/2",
IF(#REF!=7,"26-27/1",
IF(#REF!=8,"26-27/2","Hata6")))))))),
)))))),
IF(BE58="T",
IF(#REF!+BM58=2018,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8" s="1" t="s">
        <v>64</v>
      </c>
      <c r="L58" s="2">
        <v>3403</v>
      </c>
      <c r="N58" s="2">
        <v>4</v>
      </c>
      <c r="O58" s="6">
        <f t="shared" si="0"/>
        <v>2</v>
      </c>
      <c r="P58" s="2">
        <f t="shared" si="1"/>
        <v>2</v>
      </c>
      <c r="Q58" s="2">
        <v>0</v>
      </c>
      <c r="R58" s="2">
        <v>0</v>
      </c>
      <c r="S58" s="2">
        <v>2</v>
      </c>
      <c r="X58" s="3">
        <v>7</v>
      </c>
      <c r="Y58" s="1">
        <f>VLOOKUP($X58,[5]ölçme_sistemleri!I$1:L$65536,2,FALSE)</f>
        <v>0</v>
      </c>
      <c r="Z58" s="1">
        <f>VLOOKUP($X58,[5]ölçme_sistemleri!I$1:L$65536,3,FALSE)</f>
        <v>1</v>
      </c>
      <c r="AA58" s="1">
        <f>VLOOKUP($X58,[5]ölçme_sistemleri!I$1:L$65536,4,FALSE)</f>
        <v>1</v>
      </c>
      <c r="AB58" s="1">
        <f>$O58*[5]ölçme_sistemleri!J$13</f>
        <v>2</v>
      </c>
      <c r="AC58" s="1">
        <f>$O58*[5]ölçme_sistemleri!K$13</f>
        <v>4</v>
      </c>
      <c r="AD58" s="1">
        <f>$O58*[5]ölçme_sistemleri!L$13</f>
        <v>6</v>
      </c>
      <c r="AE58" s="1">
        <f t="shared" si="2"/>
        <v>0</v>
      </c>
      <c r="AF58" s="1">
        <f t="shared" si="3"/>
        <v>4</v>
      </c>
      <c r="AG58" s="1">
        <f t="shared" si="4"/>
        <v>6</v>
      </c>
      <c r="AH58" s="1">
        <f t="shared" si="5"/>
        <v>10</v>
      </c>
      <c r="AI58" s="1">
        <v>14</v>
      </c>
      <c r="AJ58" s="1">
        <f>VLOOKUP(X58,[5]ölçme_sistemleri!I$1:M$65536,5,FALSE)</f>
        <v>1</v>
      </c>
      <c r="AK58" s="1">
        <f t="shared" si="6"/>
        <v>140</v>
      </c>
      <c r="AL58" s="1">
        <f>AI58*4</f>
        <v>56</v>
      </c>
      <c r="AM58" s="1">
        <f>VLOOKUP(X58,[5]ölçme_sistemleri!I$1:N$65536,6,FALSE)</f>
        <v>2</v>
      </c>
      <c r="AN58" s="1">
        <v>2</v>
      </c>
      <c r="AO58" s="1">
        <f t="shared" si="7"/>
        <v>4</v>
      </c>
      <c r="AP58" s="1">
        <v>14</v>
      </c>
      <c r="AQ58" s="1">
        <f t="shared" si="8"/>
        <v>28</v>
      </c>
      <c r="AR58" s="1">
        <f t="shared" si="9"/>
        <v>98</v>
      </c>
      <c r="AS58" s="1">
        <f t="shared" si="41"/>
        <v>25</v>
      </c>
      <c r="AT58" s="1">
        <f t="shared" si="11"/>
        <v>4</v>
      </c>
      <c r="AU58" s="1">
        <f t="shared" si="12"/>
        <v>0</v>
      </c>
      <c r="AV58" s="1">
        <f t="shared" si="33"/>
        <v>0</v>
      </c>
      <c r="AW58" s="1">
        <f t="shared" si="34"/>
        <v>0</v>
      </c>
      <c r="AX58" s="1">
        <f t="shared" si="35"/>
        <v>0</v>
      </c>
      <c r="AY58" s="1">
        <f t="shared" si="16"/>
        <v>-10</v>
      </c>
      <c r="AZ58" s="1">
        <f t="shared" si="36"/>
        <v>0</v>
      </c>
      <c r="BA58" s="1">
        <f t="shared" si="18"/>
        <v>-56</v>
      </c>
      <c r="BB58" s="1">
        <f t="shared" si="31"/>
        <v>0</v>
      </c>
      <c r="BC58" s="1">
        <f t="shared" si="20"/>
        <v>-4</v>
      </c>
      <c r="BD58" s="1">
        <f t="shared" si="21"/>
        <v>0</v>
      </c>
      <c r="BE58" s="1" t="s">
        <v>65</v>
      </c>
      <c r="BF58" s="1">
        <f t="shared" si="37"/>
        <v>28</v>
      </c>
      <c r="BG58" s="1">
        <f t="shared" si="32"/>
        <v>28</v>
      </c>
      <c r="BH58" s="1">
        <f t="shared" si="24"/>
        <v>1</v>
      </c>
      <c r="BI58" s="1" t="e">
        <f>IF(BH58-#REF!=0,"DOĞRU","YANLIŞ")</f>
        <v>#REF!</v>
      </c>
      <c r="BJ58" s="1" t="e">
        <f>#REF!-BH58</f>
        <v>#REF!</v>
      </c>
      <c r="BK58" s="1">
        <v>0</v>
      </c>
      <c r="BM58" s="1">
        <v>0</v>
      </c>
      <c r="BO58" s="1">
        <v>4</v>
      </c>
      <c r="BT58" s="8">
        <f t="shared" si="38"/>
        <v>0</v>
      </c>
      <c r="BU58" s="9"/>
      <c r="BV58" s="10"/>
      <c r="BW58" s="11"/>
      <c r="BX58" s="11"/>
      <c r="BY58" s="11"/>
      <c r="BZ58" s="11"/>
      <c r="CA58" s="11"/>
      <c r="CB58" s="12"/>
      <c r="CC58" s="13"/>
      <c r="CD58" s="14"/>
      <c r="CL58" s="11"/>
      <c r="CM58" s="11"/>
      <c r="CN58" s="11"/>
      <c r="CO58" s="11"/>
      <c r="CP58" s="11"/>
      <c r="CQ58" s="46"/>
      <c r="CR58" s="46"/>
      <c r="CS58" s="48"/>
      <c r="CT58" s="48"/>
      <c r="CU58" s="48"/>
      <c r="CV58" s="48"/>
      <c r="CW58" s="49"/>
      <c r="CX58" s="49"/>
    </row>
    <row r="59" spans="1:102" x14ac:dyDescent="0.25">
      <c r="A59" s="112" t="s">
        <v>136</v>
      </c>
      <c r="B59" s="112" t="s">
        <v>134</v>
      </c>
      <c r="C59" s="1" t="s">
        <v>134</v>
      </c>
      <c r="D59" s="2" t="s">
        <v>63</v>
      </c>
      <c r="E59" s="2" t="s">
        <v>63</v>
      </c>
      <c r="F59" s="3" t="e">
        <f>IF(BE59="S",
IF(#REF!+BM59=2018,
IF(#REF!=1,"18-19/1",
IF(#REF!=2,"18-19/2",
IF(#REF!=3,"19-20/1",
IF(#REF!=4,"19-20/2",
IF(#REF!=5,"20-21/1",
IF(#REF!=6,"20-21/2",
IF(#REF!=7,"21-22/1",
IF(#REF!=8,"21-22/2","Hata1")))))))),
IF(#REF!+BM59=2019,
IF(#REF!=1,"19-20/1",
IF(#REF!=2,"19-20/2",
IF(#REF!=3,"20-21/1",
IF(#REF!=4,"20-21/2",
IF(#REF!=5,"21-22/1",
IF(#REF!=6,"21-22/2",
IF(#REF!=7,"22-23/1",
IF(#REF!=8,"22-23/2","Hata2")))))))),
IF(#REF!+BM59=2020,
IF(#REF!=1,"20-21/1",
IF(#REF!=2,"20-21/2",
IF(#REF!=3,"21-22/1",
IF(#REF!=4,"21-22/2",
IF(#REF!=5,"22-23/1",
IF(#REF!=6,"22-23/2",
IF(#REF!=7,"23-24/1",
IF(#REF!=8,"23-24/2","Hata3")))))))),
IF(#REF!+BM59=2021,
IF(#REF!=1,"21-22/1",
IF(#REF!=2,"21-22/2",
IF(#REF!=3,"22-23/1",
IF(#REF!=4,"22-23/2",
IF(#REF!=5,"23-24/1",
IF(#REF!=6,"23-24/2",
IF(#REF!=7,"24-25/1",
IF(#REF!=8,"24-25/2","Hata4")))))))),
IF(#REF!+BM59=2022,
IF(#REF!=1,"22-23/1",
IF(#REF!=2,"22-23/2",
IF(#REF!=3,"23-24/1",
IF(#REF!=4,"23-24/2",
IF(#REF!=5,"24-25/1",
IF(#REF!=6,"24-25/2",
IF(#REF!=7,"25-26/1",
IF(#REF!=8,"25-26/2","Hata5")))))))),
IF(#REF!+BM59=2023,
IF(#REF!=1,"23-24/1",
IF(#REF!=2,"23-24/2",
IF(#REF!=3,"24-25/1",
IF(#REF!=4,"24-25/2",
IF(#REF!=5,"25-26/1",
IF(#REF!=6,"25-26/2",
IF(#REF!=7,"26-27/1",
IF(#REF!=8,"26-27/2","Hata6")))))))),
)))))),
IF(BE59="T",
IF(#REF!+BM59=2018,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IF(#REF!+BM59=2019,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IF(#REF!+BM59=2020,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IF(#REF!+BM59=2021,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IF(#REF!+BM59=2022,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IF(#REF!+BM59=2023,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59" s="112" t="s">
        <v>64</v>
      </c>
      <c r="L59" s="2">
        <v>3426</v>
      </c>
      <c r="N59" s="113">
        <v>5</v>
      </c>
      <c r="O59" s="89">
        <f t="shared" si="0"/>
        <v>4</v>
      </c>
      <c r="P59" s="2">
        <f t="shared" si="1"/>
        <v>4</v>
      </c>
      <c r="Q59" s="2">
        <v>2</v>
      </c>
      <c r="R59" s="2">
        <v>0</v>
      </c>
      <c r="S59" s="2">
        <v>2</v>
      </c>
      <c r="X59" s="90">
        <v>4</v>
      </c>
      <c r="Y59" s="1">
        <f>VLOOKUP(X59,[10]ölçme_sistemleri!I:L,2,FALSE)</f>
        <v>0</v>
      </c>
      <c r="Z59" s="1">
        <f>VLOOKUP(X59,[10]ölçme_sistemleri!I:L,3,FALSE)</f>
        <v>1</v>
      </c>
      <c r="AA59" s="1">
        <f>VLOOKUP(X59,[10]ölçme_sistemleri!I:L,4,FALSE)</f>
        <v>1</v>
      </c>
      <c r="AB59" s="1">
        <f>$O59*[10]ölçme_sistemleri!$J$13</f>
        <v>4</v>
      </c>
      <c r="AC59" s="1">
        <f>$O59*[10]ölçme_sistemleri!$K$13</f>
        <v>8</v>
      </c>
      <c r="AD59" s="1">
        <f>$O59*[10]ölçme_sistemleri!$L$13</f>
        <v>12</v>
      </c>
      <c r="AE59" s="1">
        <f t="shared" si="2"/>
        <v>0</v>
      </c>
      <c r="AF59" s="1">
        <f t="shared" si="3"/>
        <v>8</v>
      </c>
      <c r="AG59" s="1">
        <f t="shared" si="4"/>
        <v>12</v>
      </c>
      <c r="AH59" s="1">
        <f t="shared" si="5"/>
        <v>20</v>
      </c>
      <c r="AI59" s="1">
        <v>14</v>
      </c>
      <c r="AJ59" s="1">
        <f>VLOOKUP(X59,[10]ölçme_sistemleri!I:M,5,FALSE)</f>
        <v>1</v>
      </c>
      <c r="AK59" s="1">
        <f t="shared" si="6"/>
        <v>280</v>
      </c>
      <c r="AL59" s="1">
        <f>(Q59+S59)*AI59</f>
        <v>56</v>
      </c>
      <c r="AM59" s="1">
        <f>VLOOKUP(X59,[10]ölçme_sistemleri!I:N,6,FALSE)</f>
        <v>2</v>
      </c>
      <c r="AN59" s="1">
        <v>2</v>
      </c>
      <c r="AO59" s="1">
        <f t="shared" si="7"/>
        <v>4</v>
      </c>
      <c r="AP59" s="1">
        <v>14</v>
      </c>
      <c r="AQ59" s="1">
        <f t="shared" si="8"/>
        <v>56</v>
      </c>
      <c r="AR59" s="1">
        <f t="shared" si="9"/>
        <v>136</v>
      </c>
      <c r="AS59" s="1">
        <f t="shared" si="41"/>
        <v>25</v>
      </c>
      <c r="AT59" s="1">
        <f t="shared" si="11"/>
        <v>5</v>
      </c>
      <c r="AU59" s="1">
        <f t="shared" si="12"/>
        <v>0</v>
      </c>
      <c r="AV59" s="1">
        <f t="shared" si="33"/>
        <v>0</v>
      </c>
      <c r="AW59" s="1">
        <f t="shared" si="34"/>
        <v>0</v>
      </c>
      <c r="AX59" s="1">
        <f t="shared" si="35"/>
        <v>0</v>
      </c>
      <c r="AY59" s="1">
        <f t="shared" si="16"/>
        <v>-20</v>
      </c>
      <c r="AZ59" s="1">
        <f t="shared" si="36"/>
        <v>0</v>
      </c>
      <c r="BA59" s="1">
        <f t="shared" si="18"/>
        <v>-56</v>
      </c>
      <c r="BB59" s="1">
        <f t="shared" si="31"/>
        <v>0</v>
      </c>
      <c r="BC59" s="1">
        <f t="shared" si="20"/>
        <v>-4</v>
      </c>
      <c r="BD59" s="1">
        <f t="shared" si="21"/>
        <v>0</v>
      </c>
      <c r="BE59" s="1" t="s">
        <v>65</v>
      </c>
      <c r="BF59" s="1">
        <f t="shared" si="37"/>
        <v>56</v>
      </c>
      <c r="BG59" s="1">
        <f t="shared" si="32"/>
        <v>56</v>
      </c>
      <c r="BH59" s="1">
        <f t="shared" si="24"/>
        <v>2</v>
      </c>
      <c r="BI59" s="1" t="e">
        <f>IF(BH59-#REF!=0,"DOĞRU","YANLIŞ")</f>
        <v>#REF!</v>
      </c>
      <c r="BJ59" s="1" t="e">
        <f>#REF!-BH59</f>
        <v>#REF!</v>
      </c>
      <c r="BK59" s="1">
        <v>1</v>
      </c>
      <c r="BM59" s="1">
        <v>0</v>
      </c>
      <c r="BO59" s="1">
        <v>4</v>
      </c>
      <c r="BT59" s="8">
        <f t="shared" si="38"/>
        <v>0</v>
      </c>
      <c r="BU59" s="9"/>
      <c r="BV59" s="10"/>
      <c r="BW59" s="11"/>
      <c r="BX59" s="11"/>
      <c r="BY59" s="11"/>
      <c r="BZ59" s="11"/>
      <c r="CA59" s="11"/>
      <c r="CB59" s="12"/>
      <c r="CC59" s="13"/>
      <c r="CD59" s="14"/>
      <c r="CL59" s="114"/>
      <c r="CM59" s="114"/>
      <c r="CN59" s="114"/>
      <c r="CO59" s="114"/>
      <c r="CP59" s="114" t="s">
        <v>442</v>
      </c>
      <c r="CQ59" s="111">
        <v>44324</v>
      </c>
      <c r="CR59" s="114" t="s">
        <v>529</v>
      </c>
      <c r="CS59" s="85"/>
      <c r="CT59" s="91"/>
      <c r="CU59" s="48"/>
      <c r="CV59" s="48"/>
      <c r="CW59" s="49"/>
      <c r="CX59" s="49"/>
    </row>
    <row r="60" spans="1:102" x14ac:dyDescent="0.25">
      <c r="A60" s="88" t="s">
        <v>142</v>
      </c>
      <c r="B60" s="88" t="s">
        <v>143</v>
      </c>
      <c r="C60" s="1" t="s">
        <v>143</v>
      </c>
      <c r="D60" s="2" t="s">
        <v>63</v>
      </c>
      <c r="E60" s="2" t="s">
        <v>63</v>
      </c>
      <c r="F60" s="3" t="e">
        <f>IF(BE60="S",
IF(#REF!+BM60=2018,
IF(#REF!=1,"18-19/1",
IF(#REF!=2,"18-19/2",
IF(#REF!=3,"19-20/1",
IF(#REF!=4,"19-20/2",
IF(#REF!=5,"20-21/1",
IF(#REF!=6,"20-21/2",
IF(#REF!=7,"21-22/1",
IF(#REF!=8,"21-22/2","Hata1")))))))),
IF(#REF!+BM60=2019,
IF(#REF!=1,"19-20/1",
IF(#REF!=2,"19-20/2",
IF(#REF!=3,"20-21/1",
IF(#REF!=4,"20-21/2",
IF(#REF!=5,"21-22/1",
IF(#REF!=6,"21-22/2",
IF(#REF!=7,"22-23/1",
IF(#REF!=8,"22-23/2","Hata2")))))))),
IF(#REF!+BM60=2020,
IF(#REF!=1,"20-21/1",
IF(#REF!=2,"20-21/2",
IF(#REF!=3,"21-22/1",
IF(#REF!=4,"21-22/2",
IF(#REF!=5,"22-23/1",
IF(#REF!=6,"22-23/2",
IF(#REF!=7,"23-24/1",
IF(#REF!=8,"23-24/2","Hata3")))))))),
IF(#REF!+BM60=2021,
IF(#REF!=1,"21-22/1",
IF(#REF!=2,"21-22/2",
IF(#REF!=3,"22-23/1",
IF(#REF!=4,"22-23/2",
IF(#REF!=5,"23-24/1",
IF(#REF!=6,"23-24/2",
IF(#REF!=7,"24-25/1",
IF(#REF!=8,"24-25/2","Hata4")))))))),
IF(#REF!+BM60=2022,
IF(#REF!=1,"22-23/1",
IF(#REF!=2,"22-23/2",
IF(#REF!=3,"23-24/1",
IF(#REF!=4,"23-24/2",
IF(#REF!=5,"24-25/1",
IF(#REF!=6,"24-25/2",
IF(#REF!=7,"25-26/1",
IF(#REF!=8,"25-26/2","Hata5")))))))),
IF(#REF!+BM60=2023,
IF(#REF!=1,"23-24/1",
IF(#REF!=2,"23-24/2",
IF(#REF!=3,"24-25/1",
IF(#REF!=4,"24-25/2",
IF(#REF!=5,"25-26/1",
IF(#REF!=6,"25-26/2",
IF(#REF!=7,"26-27/1",
IF(#REF!=8,"26-27/2","Hata6")))))))),
)))))),
IF(BE60="T",
IF(#REF!+BM60=2018,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0" s="88" t="s">
        <v>64</v>
      </c>
      <c r="L60" s="2">
        <v>3431</v>
      </c>
      <c r="N60" s="87">
        <v>5</v>
      </c>
      <c r="O60" s="89">
        <f t="shared" si="0"/>
        <v>4</v>
      </c>
      <c r="P60" s="2">
        <f t="shared" si="1"/>
        <v>4</v>
      </c>
      <c r="Q60" s="2">
        <v>2</v>
      </c>
      <c r="R60" s="2">
        <v>0</v>
      </c>
      <c r="S60" s="2">
        <v>2</v>
      </c>
      <c r="X60" s="90">
        <v>4</v>
      </c>
      <c r="Y60" s="1">
        <f>VLOOKUP(X60,[11]ölçme_sistemleri!I:L,2,FALSE)</f>
        <v>0</v>
      </c>
      <c r="Z60" s="1">
        <f>VLOOKUP(X60,[11]ölçme_sistemleri!I:L,3,FALSE)</f>
        <v>1</v>
      </c>
      <c r="AA60" s="1">
        <f>VLOOKUP(X60,[11]ölçme_sistemleri!I:L,4,FALSE)</f>
        <v>1</v>
      </c>
      <c r="AB60" s="1">
        <f>$O60*[11]ölçme_sistemleri!$J$13</f>
        <v>4</v>
      </c>
      <c r="AC60" s="1">
        <f>$O60*[11]ölçme_sistemleri!$K$13</f>
        <v>8</v>
      </c>
      <c r="AD60" s="1">
        <f>$O60*[11]ölçme_sistemleri!$L$13</f>
        <v>12</v>
      </c>
      <c r="AE60" s="1">
        <f t="shared" si="2"/>
        <v>0</v>
      </c>
      <c r="AF60" s="1">
        <f t="shared" si="3"/>
        <v>8</v>
      </c>
      <c r="AG60" s="1">
        <f t="shared" si="4"/>
        <v>12</v>
      </c>
      <c r="AH60" s="1">
        <f t="shared" si="5"/>
        <v>20</v>
      </c>
      <c r="AI60" s="1">
        <v>14</v>
      </c>
      <c r="AJ60" s="1">
        <f>VLOOKUP(X60,[11]ölçme_sistemleri!I:M,5,FALSE)</f>
        <v>1</v>
      </c>
      <c r="AK60" s="1">
        <f t="shared" si="6"/>
        <v>280</v>
      </c>
      <c r="AL60" s="1">
        <f>(Q60+S60)*AI60</f>
        <v>56</v>
      </c>
      <c r="AM60" s="1">
        <f>VLOOKUP(X60,[11]ölçme_sistemleri!I:N,6,FALSE)</f>
        <v>2</v>
      </c>
      <c r="AN60" s="1">
        <v>2</v>
      </c>
      <c r="AO60" s="1">
        <f t="shared" si="7"/>
        <v>4</v>
      </c>
      <c r="AP60" s="1">
        <v>14</v>
      </c>
      <c r="AQ60" s="1">
        <f t="shared" si="8"/>
        <v>56</v>
      </c>
      <c r="AR60" s="1">
        <f t="shared" si="9"/>
        <v>136</v>
      </c>
      <c r="AS60" s="1">
        <f t="shared" si="41"/>
        <v>25</v>
      </c>
      <c r="AT60" s="1">
        <f t="shared" si="11"/>
        <v>5</v>
      </c>
      <c r="AU60" s="1">
        <f t="shared" si="12"/>
        <v>0</v>
      </c>
      <c r="AV60" s="1">
        <f t="shared" si="33"/>
        <v>0</v>
      </c>
      <c r="AW60" s="1">
        <f t="shared" si="34"/>
        <v>0</v>
      </c>
      <c r="AX60" s="1">
        <f t="shared" si="35"/>
        <v>0</v>
      </c>
      <c r="AY60" s="1">
        <f t="shared" si="16"/>
        <v>-20</v>
      </c>
      <c r="AZ60" s="1">
        <f t="shared" si="36"/>
        <v>0</v>
      </c>
      <c r="BA60" s="1">
        <f t="shared" si="18"/>
        <v>-56</v>
      </c>
      <c r="BB60" s="1">
        <f t="shared" si="31"/>
        <v>0</v>
      </c>
      <c r="BC60" s="1">
        <f t="shared" si="20"/>
        <v>-4</v>
      </c>
      <c r="BD60" s="1">
        <f t="shared" si="21"/>
        <v>0</v>
      </c>
      <c r="BE60" s="1" t="s">
        <v>65</v>
      </c>
      <c r="BF60" s="1">
        <f t="shared" si="37"/>
        <v>56</v>
      </c>
      <c r="BG60" s="1">
        <f t="shared" si="32"/>
        <v>56</v>
      </c>
      <c r="BH60" s="1">
        <f t="shared" si="24"/>
        <v>2</v>
      </c>
      <c r="BI60" s="1" t="e">
        <f>IF(BH60-#REF!=0,"DOĞRU","YANLIŞ")</f>
        <v>#REF!</v>
      </c>
      <c r="BJ60" s="1" t="e">
        <f>#REF!-BH60</f>
        <v>#REF!</v>
      </c>
      <c r="BK60" s="1">
        <v>1</v>
      </c>
      <c r="BM60" s="1">
        <v>0</v>
      </c>
      <c r="BO60" s="1">
        <v>4</v>
      </c>
      <c r="BT60" s="8">
        <f t="shared" si="38"/>
        <v>0</v>
      </c>
      <c r="BU60" s="9"/>
      <c r="BV60" s="10"/>
      <c r="BW60" s="11"/>
      <c r="BX60" s="11"/>
      <c r="BY60" s="11"/>
      <c r="BZ60" s="11"/>
      <c r="CA60" s="11"/>
      <c r="CB60" s="12"/>
      <c r="CC60" s="13"/>
      <c r="CD60" s="14"/>
      <c r="CL60" s="82"/>
      <c r="CM60" s="82"/>
      <c r="CN60" s="82"/>
      <c r="CO60" s="82"/>
      <c r="CP60" s="82" t="s">
        <v>442</v>
      </c>
      <c r="CQ60" s="85">
        <v>44324</v>
      </c>
      <c r="CR60" s="83" t="s">
        <v>529</v>
      </c>
      <c r="CS60" s="91"/>
      <c r="CT60" s="91"/>
      <c r="CU60" s="48"/>
      <c r="CV60" s="48"/>
      <c r="CW60" s="49"/>
      <c r="CX60" s="49"/>
    </row>
    <row r="61" spans="1:102" hidden="1" x14ac:dyDescent="0.25">
      <c r="A61" s="1" t="s">
        <v>464</v>
      </c>
      <c r="B61" s="34" t="s">
        <v>465</v>
      </c>
      <c r="C61" s="1" t="s">
        <v>465</v>
      </c>
      <c r="D61" s="2" t="s">
        <v>63</v>
      </c>
      <c r="E61" s="2" t="s">
        <v>63</v>
      </c>
      <c r="F61" s="3" t="e">
        <f>IF(BE61="S",
IF(#REF!+BM61=2018,
IF(#REF!=1,"18-19/1",
IF(#REF!=2,"18-19/2",
IF(#REF!=3,"19-20/1",
IF(#REF!=4,"19-20/2",
IF(#REF!=5,"20-21/1",
IF(#REF!=6,"20-21/2",
IF(#REF!=7,"21-22/1",
IF(#REF!=8,"21-22/2","Hata1")))))))),
IF(#REF!+BM61=2019,
IF(#REF!=1,"19-20/1",
IF(#REF!=2,"19-20/2",
IF(#REF!=3,"20-21/1",
IF(#REF!=4,"20-21/2",
IF(#REF!=5,"21-22/1",
IF(#REF!=6,"21-22/2",
IF(#REF!=7,"22-23/1",
IF(#REF!=8,"22-23/2","Hata2")))))))),
IF(#REF!+BM61=2020,
IF(#REF!=1,"20-21/1",
IF(#REF!=2,"20-21/2",
IF(#REF!=3,"21-22/1",
IF(#REF!=4,"21-22/2",
IF(#REF!=5,"22-23/1",
IF(#REF!=6,"22-23/2",
IF(#REF!=7,"23-24/1",
IF(#REF!=8,"23-24/2","Hata3")))))))),
IF(#REF!+BM61=2021,
IF(#REF!=1,"21-22/1",
IF(#REF!=2,"21-22/2",
IF(#REF!=3,"22-23/1",
IF(#REF!=4,"22-23/2",
IF(#REF!=5,"23-24/1",
IF(#REF!=6,"23-24/2",
IF(#REF!=7,"24-25/1",
IF(#REF!=8,"24-25/2","Hata4")))))))),
IF(#REF!+BM61=2022,
IF(#REF!=1,"22-23/1",
IF(#REF!=2,"22-23/2",
IF(#REF!=3,"23-24/1",
IF(#REF!=4,"23-24/2",
IF(#REF!=5,"24-25/1",
IF(#REF!=6,"24-25/2",
IF(#REF!=7,"25-26/1",
IF(#REF!=8,"25-26/2","Hata5")))))))),
IF(#REF!+BM61=2023,
IF(#REF!=1,"23-24/1",
IF(#REF!=2,"23-24/2",
IF(#REF!=3,"24-25/1",
IF(#REF!=4,"24-25/2",
IF(#REF!=5,"25-26/1",
IF(#REF!=6,"25-26/2",
IF(#REF!=7,"26-27/1",
IF(#REF!=8,"26-27/2","Hata6")))))))),
)))))),
IF(BE61="T",
IF(#REF!+BM61=2018,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1" s="1" t="s">
        <v>64</v>
      </c>
      <c r="L61" s="2">
        <v>3106</v>
      </c>
      <c r="N61" s="2">
        <v>3</v>
      </c>
      <c r="O61" s="6">
        <f t="shared" si="0"/>
        <v>2</v>
      </c>
      <c r="P61" s="2">
        <f t="shared" si="1"/>
        <v>3</v>
      </c>
      <c r="Q61" s="2">
        <v>1</v>
      </c>
      <c r="R61" s="2">
        <v>2</v>
      </c>
      <c r="S61" s="2">
        <v>0</v>
      </c>
      <c r="X61" s="3">
        <v>4</v>
      </c>
      <c r="Y61" s="1">
        <f>VLOOKUP(X61,[6]ölçme_sistemleri!I:L,2,FALSE)</f>
        <v>0</v>
      </c>
      <c r="Z61" s="1">
        <f>VLOOKUP(X61,[6]ölçme_sistemleri!I:L,3,FALSE)</f>
        <v>1</v>
      </c>
      <c r="AA61" s="1">
        <f>VLOOKUP(X61,[6]ölçme_sistemleri!I:L,4,FALSE)</f>
        <v>1</v>
      </c>
      <c r="AB61" s="1">
        <f>$O61*[6]ölçme_sistemleri!$J$13</f>
        <v>2</v>
      </c>
      <c r="AC61" s="1">
        <f>$O61*[6]ölçme_sistemleri!$K$13</f>
        <v>4</v>
      </c>
      <c r="AD61" s="1">
        <f>$O61*[6]ölçme_sistemleri!$L$13</f>
        <v>6</v>
      </c>
      <c r="AE61" s="1">
        <f t="shared" si="2"/>
        <v>0</v>
      </c>
      <c r="AF61" s="1">
        <f t="shared" si="3"/>
        <v>4</v>
      </c>
      <c r="AG61" s="1">
        <f t="shared" si="4"/>
        <v>6</v>
      </c>
      <c r="AH61" s="1">
        <f t="shared" si="5"/>
        <v>10</v>
      </c>
      <c r="AI61" s="1">
        <v>14</v>
      </c>
      <c r="AJ61" s="1">
        <f>VLOOKUP(X61,[6]ölçme_sistemleri!I:M,5,FALSE)</f>
        <v>1</v>
      </c>
      <c r="AK61" s="1">
        <f t="shared" si="6"/>
        <v>140</v>
      </c>
      <c r="AL61" s="1">
        <f>(Q61+S61)*AI61</f>
        <v>14</v>
      </c>
      <c r="AM61" s="1">
        <f>VLOOKUP(X61,[6]ölçme_sistemleri!I:N,6,FALSE)</f>
        <v>2</v>
      </c>
      <c r="AN61" s="1">
        <v>2</v>
      </c>
      <c r="AO61" s="1">
        <f t="shared" si="7"/>
        <v>4</v>
      </c>
      <c r="AP61" s="1">
        <v>14</v>
      </c>
      <c r="AQ61" s="1">
        <f t="shared" si="8"/>
        <v>42</v>
      </c>
      <c r="AR61" s="1">
        <f t="shared" si="9"/>
        <v>70</v>
      </c>
      <c r="AS61" s="1">
        <f t="shared" si="41"/>
        <v>25</v>
      </c>
      <c r="AT61" s="1">
        <f t="shared" si="11"/>
        <v>3</v>
      </c>
      <c r="AU61" s="1">
        <f t="shared" si="12"/>
        <v>0</v>
      </c>
      <c r="AV61" s="1">
        <f t="shared" si="33"/>
        <v>0</v>
      </c>
      <c r="AW61" s="1">
        <f t="shared" si="34"/>
        <v>0</v>
      </c>
      <c r="AX61" s="1">
        <f t="shared" si="35"/>
        <v>0</v>
      </c>
      <c r="AY61" s="1">
        <f t="shared" si="16"/>
        <v>-10</v>
      </c>
      <c r="AZ61" s="1">
        <f t="shared" si="36"/>
        <v>0</v>
      </c>
      <c r="BA61" s="1">
        <f t="shared" si="18"/>
        <v>-14</v>
      </c>
      <c r="BB61" s="1">
        <f t="shared" si="31"/>
        <v>0</v>
      </c>
      <c r="BC61" s="1">
        <f t="shared" si="20"/>
        <v>-4</v>
      </c>
      <c r="BD61" s="1">
        <f t="shared" si="21"/>
        <v>0</v>
      </c>
      <c r="BE61" s="1" t="s">
        <v>65</v>
      </c>
      <c r="BF61" s="1">
        <f t="shared" si="37"/>
        <v>28</v>
      </c>
      <c r="BG61" s="1">
        <f t="shared" si="32"/>
        <v>28</v>
      </c>
      <c r="BH61" s="1">
        <f t="shared" si="24"/>
        <v>1</v>
      </c>
      <c r="BI61" s="1" t="e">
        <f>IF(BH61-#REF!=0,"DOĞRU","YANLIŞ")</f>
        <v>#REF!</v>
      </c>
      <c r="BJ61" s="1" t="e">
        <f>#REF!-BH61</f>
        <v>#REF!</v>
      </c>
      <c r="BK61" s="1">
        <v>0</v>
      </c>
      <c r="BM61" s="1">
        <v>0</v>
      </c>
      <c r="BO61" s="1">
        <v>4</v>
      </c>
      <c r="BT61" s="8">
        <f t="shared" si="38"/>
        <v>28</v>
      </c>
      <c r="BU61" s="9"/>
      <c r="BV61" s="10"/>
      <c r="BW61" s="11"/>
      <c r="BX61" s="11"/>
      <c r="BY61" s="11"/>
      <c r="BZ61" s="11"/>
      <c r="CA61" s="11"/>
      <c r="CB61" s="12"/>
      <c r="CC61" s="13"/>
      <c r="CD61" s="14"/>
      <c r="CL61" s="11"/>
      <c r="CM61" s="11"/>
      <c r="CN61" s="11"/>
      <c r="CO61" s="11"/>
      <c r="CP61" s="11"/>
      <c r="CQ61" s="49"/>
      <c r="CR61" s="46"/>
      <c r="CS61" s="49"/>
      <c r="CT61" s="48"/>
      <c r="CU61" s="48"/>
      <c r="CV61" s="48"/>
      <c r="CW61" s="49"/>
      <c r="CX61" s="49"/>
    </row>
    <row r="62" spans="1:102" hidden="1" x14ac:dyDescent="0.25">
      <c r="A62" s="1" t="s">
        <v>139</v>
      </c>
      <c r="B62" s="1" t="s">
        <v>140</v>
      </c>
      <c r="C62" s="1" t="s">
        <v>140</v>
      </c>
      <c r="D62" s="2" t="s">
        <v>63</v>
      </c>
      <c r="E62" s="2" t="s">
        <v>63</v>
      </c>
      <c r="F62" s="3" t="e">
        <f>IF(BE62="S",
IF(#REF!+BM62=2018,
IF(#REF!=1,"18-19/1",
IF(#REF!=2,"18-19/2",
IF(#REF!=3,"19-20/1",
IF(#REF!=4,"19-20/2",
IF(#REF!=5,"20-21/1",
IF(#REF!=6,"20-21/2",
IF(#REF!=7,"21-22/1",
IF(#REF!=8,"21-22/2","Hata1")))))))),
IF(#REF!+BM62=2019,
IF(#REF!=1,"19-20/1",
IF(#REF!=2,"19-20/2",
IF(#REF!=3,"20-21/1",
IF(#REF!=4,"20-21/2",
IF(#REF!=5,"21-22/1",
IF(#REF!=6,"21-22/2",
IF(#REF!=7,"22-23/1",
IF(#REF!=8,"22-23/2","Hata2")))))))),
IF(#REF!+BM62=2020,
IF(#REF!=1,"20-21/1",
IF(#REF!=2,"20-21/2",
IF(#REF!=3,"21-22/1",
IF(#REF!=4,"21-22/2",
IF(#REF!=5,"22-23/1",
IF(#REF!=6,"22-23/2",
IF(#REF!=7,"23-24/1",
IF(#REF!=8,"23-24/2","Hata3")))))))),
IF(#REF!+BM62=2021,
IF(#REF!=1,"21-22/1",
IF(#REF!=2,"21-22/2",
IF(#REF!=3,"22-23/1",
IF(#REF!=4,"22-23/2",
IF(#REF!=5,"23-24/1",
IF(#REF!=6,"23-24/2",
IF(#REF!=7,"24-25/1",
IF(#REF!=8,"24-25/2","Hata4")))))))),
IF(#REF!+BM62=2022,
IF(#REF!=1,"22-23/1",
IF(#REF!=2,"22-23/2",
IF(#REF!=3,"23-24/1",
IF(#REF!=4,"23-24/2",
IF(#REF!=5,"24-25/1",
IF(#REF!=6,"24-25/2",
IF(#REF!=7,"25-26/1",
IF(#REF!=8,"25-26/2","Hata5")))))))),
IF(#REF!+BM62=2023,
IF(#REF!=1,"23-24/1",
IF(#REF!=2,"23-24/2",
IF(#REF!=3,"24-25/1",
IF(#REF!=4,"24-25/2",
IF(#REF!=5,"25-26/1",
IF(#REF!=6,"25-26/2",
IF(#REF!=7,"26-27/1",
IF(#REF!=8,"26-27/2","Hata6")))))))),
)))))),
IF(BE62="T",
IF(#REF!+BM62=2018,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2" s="1" t="s">
        <v>64</v>
      </c>
      <c r="L62" s="2">
        <v>3107</v>
      </c>
      <c r="N62" s="2">
        <v>4</v>
      </c>
      <c r="O62" s="6">
        <f t="shared" ref="O62:O122" si="42">(S62)+(R62/2)+(Q62)</f>
        <v>3</v>
      </c>
      <c r="P62" s="2">
        <f t="shared" ref="P62:P122" si="43">Q62+R62+S62</f>
        <v>3</v>
      </c>
      <c r="Q62" s="2">
        <v>0</v>
      </c>
      <c r="R62" s="2">
        <v>0</v>
      </c>
      <c r="S62" s="2">
        <v>3</v>
      </c>
      <c r="X62" s="3">
        <v>2</v>
      </c>
      <c r="Y62" s="1">
        <f>VLOOKUP(X62,[6]ölçme_sistemleri!I:L,2,FALSE)</f>
        <v>0</v>
      </c>
      <c r="Z62" s="1">
        <f>VLOOKUP(X62,[6]ölçme_sistemleri!I:L,3,FALSE)</f>
        <v>2</v>
      </c>
      <c r="AA62" s="1">
        <f>VLOOKUP(X62,[6]ölçme_sistemleri!I:L,4,FALSE)</f>
        <v>1</v>
      </c>
      <c r="AB62" s="1">
        <f>$O62*[6]ölçme_sistemleri!$J$13</f>
        <v>3</v>
      </c>
      <c r="AC62" s="1">
        <f>$O62*[6]ölçme_sistemleri!$K$13</f>
        <v>6</v>
      </c>
      <c r="AD62" s="1">
        <f>$O62*[6]ölçme_sistemleri!$L$13</f>
        <v>9</v>
      </c>
      <c r="AE62" s="1">
        <f t="shared" ref="AE62:AE122" si="44">Y62*AB62</f>
        <v>0</v>
      </c>
      <c r="AF62" s="1">
        <f t="shared" ref="AF62:AF122" si="45">Z62*AC62</f>
        <v>12</v>
      </c>
      <c r="AG62" s="1">
        <f t="shared" ref="AG62:AG122" si="46">AA62*AD62</f>
        <v>9</v>
      </c>
      <c r="AH62" s="1">
        <f t="shared" ref="AH62:AH122" si="47">SUM(AE62:AG62)</f>
        <v>21</v>
      </c>
      <c r="AI62" s="1">
        <v>14</v>
      </c>
      <c r="AJ62" s="1">
        <f>VLOOKUP(X62,[6]ölçme_sistemleri!I:M,5,FALSE)</f>
        <v>2</v>
      </c>
      <c r="AK62" s="1">
        <f t="shared" ref="AK62:AK122" si="48">SUM(AE62,AF62,AG62)*AI62</f>
        <v>294</v>
      </c>
      <c r="AL62" s="1">
        <f>(Q62+S62)*AI62</f>
        <v>42</v>
      </c>
      <c r="AM62" s="1">
        <f>VLOOKUP(X62,[6]ölçme_sistemleri!I:N,6,FALSE)</f>
        <v>3</v>
      </c>
      <c r="AN62" s="1">
        <v>2</v>
      </c>
      <c r="AO62" s="1">
        <f t="shared" ref="AO62:AO122" si="49">AM62*AN62</f>
        <v>6</v>
      </c>
      <c r="AP62" s="1">
        <v>14</v>
      </c>
      <c r="AQ62" s="1">
        <f t="shared" si="8"/>
        <v>42</v>
      </c>
      <c r="AR62" s="1">
        <f t="shared" ref="AR62:AR122" si="50">AQ62+AO62+AL62+AE62+AF62+AG62</f>
        <v>111</v>
      </c>
      <c r="AS62" s="1">
        <f t="shared" si="41"/>
        <v>25</v>
      </c>
      <c r="AT62" s="1">
        <f t="shared" ref="AT62:AT122" si="51">ROUND(AR62/AS62,0)</f>
        <v>4</v>
      </c>
      <c r="AU62" s="1">
        <f t="shared" si="12"/>
        <v>0</v>
      </c>
      <c r="AV62" s="1">
        <f t="shared" si="33"/>
        <v>0</v>
      </c>
      <c r="AW62" s="1">
        <f t="shared" si="34"/>
        <v>0</v>
      </c>
      <c r="AX62" s="1">
        <f t="shared" si="35"/>
        <v>0</v>
      </c>
      <c r="AY62" s="1">
        <f t="shared" ref="AY62:AY122" si="52">SUM(AV62:AX62)-SUM(AD62:AF62)</f>
        <v>-21</v>
      </c>
      <c r="AZ62" s="1">
        <f t="shared" si="36"/>
        <v>0</v>
      </c>
      <c r="BA62" s="1">
        <f t="shared" ref="BA62:BA122" si="53">AZ62-AL62</f>
        <v>-42</v>
      </c>
      <c r="BB62" s="1">
        <f t="shared" ref="BB62:BB91" si="54">IF(BE62="s",
IF(W62=0,0,
IF(W62=1,4*5,
IF(W62=2,4*3,
IF(W62=3,4*4,
IF(W62=4,4*2,
IF(W62=5,4,
IF(W62=6,4/2,
IF(W62=7,4*2,)))))))),
IF(BE62="t",
IF(W62=0,0,
IF(W62=1,4*5,
IF(W62=2,4*3,
IF(W62=3,4*4,
IF(W62=4,4*2,
IF(W62=5,4,
IF(W62=6,4/2,
IF(W62=7,4*2))))))))))</f>
        <v>0</v>
      </c>
      <c r="BC62" s="1">
        <f t="shared" ref="BC62:BC122" si="55">BB62-AO62</f>
        <v>-6</v>
      </c>
      <c r="BD62" s="1">
        <f t="shared" ref="BD62:BD122" si="56">AV62+AW62+AX62+(IF(BK62=1,(AZ62)*2,AZ62))+BB62</f>
        <v>0</v>
      </c>
      <c r="BE62" s="1" t="s">
        <v>65</v>
      </c>
      <c r="BF62" s="1">
        <f t="shared" si="37"/>
        <v>42</v>
      </c>
      <c r="BG62" s="1">
        <f t="shared" ref="BG62:BG88" si="57">IF(BL62="Z",(BF62+BD62)*1.15,(BF62+BD62))</f>
        <v>42</v>
      </c>
      <c r="BH62" s="1">
        <f t="shared" ref="BH62:BH122" si="58">IF(BE62="s",ROUND(BG62/30,0),IF(BE62="T",ROUND(BG62/25,0),"HATA"))</f>
        <v>1</v>
      </c>
      <c r="BI62" s="1" t="e">
        <f>IF(BH62-#REF!=0,"DOĞRU","YANLIŞ")</f>
        <v>#REF!</v>
      </c>
      <c r="BJ62" s="1" t="e">
        <f>#REF!-BH62</f>
        <v>#REF!</v>
      </c>
      <c r="BK62" s="1">
        <v>0</v>
      </c>
      <c r="BM62" s="1">
        <v>0</v>
      </c>
      <c r="BO62" s="1">
        <v>4</v>
      </c>
      <c r="BT62" s="8">
        <f t="shared" si="38"/>
        <v>0</v>
      </c>
      <c r="BU62" s="9"/>
      <c r="BV62" s="10"/>
      <c r="BW62" s="11"/>
      <c r="BX62" s="11"/>
      <c r="BY62" s="11"/>
      <c r="BZ62" s="11"/>
      <c r="CA62" s="11"/>
      <c r="CB62" s="12"/>
      <c r="CC62" s="13"/>
      <c r="CD62" s="14"/>
      <c r="CL62" s="11"/>
      <c r="CM62" s="11"/>
      <c r="CN62" s="11"/>
      <c r="CO62" s="11"/>
      <c r="CP62" s="11"/>
      <c r="CQ62" s="49"/>
      <c r="CR62" s="46"/>
      <c r="CS62" s="53"/>
      <c r="CT62" s="53"/>
      <c r="CU62" s="53"/>
      <c r="CV62" s="53"/>
      <c r="CW62" s="49"/>
      <c r="CX62" s="49"/>
    </row>
    <row r="63" spans="1:102" hidden="1" x14ac:dyDescent="0.25">
      <c r="A63" s="1" t="s">
        <v>125</v>
      </c>
      <c r="B63" s="1" t="s">
        <v>126</v>
      </c>
      <c r="C63" s="1" t="s">
        <v>126</v>
      </c>
      <c r="D63" s="2" t="s">
        <v>63</v>
      </c>
      <c r="E63" s="2" t="s">
        <v>63</v>
      </c>
      <c r="F63" s="3" t="e">
        <f>IF(BE63="S",
IF(#REF!+BM63=2018,
IF(#REF!=1,"18-19/1",
IF(#REF!=2,"18-19/2",
IF(#REF!=3,"19-20/1",
IF(#REF!=4,"19-20/2",
IF(#REF!=5,"20-21/1",
IF(#REF!=6,"20-21/2",
IF(#REF!=7,"21-22/1",
IF(#REF!=8,"21-22/2","Hata1")))))))),
IF(#REF!+BM63=2019,
IF(#REF!=1,"19-20/1",
IF(#REF!=2,"19-20/2",
IF(#REF!=3,"20-21/1",
IF(#REF!=4,"20-21/2",
IF(#REF!=5,"21-22/1",
IF(#REF!=6,"21-22/2",
IF(#REF!=7,"22-23/1",
IF(#REF!=8,"22-23/2","Hata2")))))))),
IF(#REF!+BM63=2020,
IF(#REF!=1,"20-21/1",
IF(#REF!=2,"20-21/2",
IF(#REF!=3,"21-22/1",
IF(#REF!=4,"21-22/2",
IF(#REF!=5,"22-23/1",
IF(#REF!=6,"22-23/2",
IF(#REF!=7,"23-24/1",
IF(#REF!=8,"23-24/2","Hata3")))))))),
IF(#REF!+BM63=2021,
IF(#REF!=1,"21-22/1",
IF(#REF!=2,"21-22/2",
IF(#REF!=3,"22-23/1",
IF(#REF!=4,"22-23/2",
IF(#REF!=5,"23-24/1",
IF(#REF!=6,"23-24/2",
IF(#REF!=7,"24-25/1",
IF(#REF!=8,"24-25/2","Hata4")))))))),
IF(#REF!+BM63=2022,
IF(#REF!=1,"22-23/1",
IF(#REF!=2,"22-23/2",
IF(#REF!=3,"23-24/1",
IF(#REF!=4,"23-24/2",
IF(#REF!=5,"24-25/1",
IF(#REF!=6,"24-25/2",
IF(#REF!=7,"25-26/1",
IF(#REF!=8,"25-26/2","Hata5")))))))),
IF(#REF!+BM63=2023,
IF(#REF!=1,"23-24/1",
IF(#REF!=2,"23-24/2",
IF(#REF!=3,"24-25/1",
IF(#REF!=4,"24-25/2",
IF(#REF!=5,"25-26/1",
IF(#REF!=6,"25-26/2",
IF(#REF!=7,"26-27/1",
IF(#REF!=8,"26-27/2","Hata6")))))))),
)))))),
IF(BE63="T",
IF(#REF!+BM63=2018,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3" s="1" t="s">
        <v>64</v>
      </c>
      <c r="L63" s="2">
        <v>1681</v>
      </c>
      <c r="N63" s="2">
        <v>4</v>
      </c>
      <c r="O63" s="6">
        <f t="shared" si="42"/>
        <v>3</v>
      </c>
      <c r="P63" s="2">
        <f t="shared" si="43"/>
        <v>3</v>
      </c>
      <c r="Q63" s="2">
        <v>3</v>
      </c>
      <c r="R63" s="2">
        <v>0</v>
      </c>
      <c r="S63" s="2">
        <v>0</v>
      </c>
      <c r="X63" s="3">
        <v>2</v>
      </c>
      <c r="Y63" s="1">
        <f>VLOOKUP(X63,[6]ölçme_sistemleri!I:L,2,FALSE)</f>
        <v>0</v>
      </c>
      <c r="Z63" s="1">
        <f>VLOOKUP(X63,[6]ölçme_sistemleri!I:L,3,FALSE)</f>
        <v>2</v>
      </c>
      <c r="AA63" s="1">
        <f>VLOOKUP(X63,[6]ölçme_sistemleri!I:L,4,FALSE)</f>
        <v>1</v>
      </c>
      <c r="AB63" s="1">
        <f>$O63*[6]ölçme_sistemleri!$J$13</f>
        <v>3</v>
      </c>
      <c r="AC63" s="1">
        <f>$O63*[6]ölçme_sistemleri!$K$13</f>
        <v>6</v>
      </c>
      <c r="AD63" s="1">
        <f>$O63*[6]ölçme_sistemleri!$L$13</f>
        <v>9</v>
      </c>
      <c r="AE63" s="1">
        <f t="shared" si="44"/>
        <v>0</v>
      </c>
      <c r="AF63" s="1">
        <f t="shared" si="45"/>
        <v>12</v>
      </c>
      <c r="AG63" s="1">
        <f t="shared" si="46"/>
        <v>9</v>
      </c>
      <c r="AH63" s="1">
        <f t="shared" si="47"/>
        <v>21</v>
      </c>
      <c r="AI63" s="1">
        <v>14</v>
      </c>
      <c r="AJ63" s="1">
        <f>VLOOKUP(X63,[6]ölçme_sistemleri!I:M,5,FALSE)</f>
        <v>2</v>
      </c>
      <c r="AK63" s="1">
        <f t="shared" si="48"/>
        <v>294</v>
      </c>
      <c r="AL63" s="1">
        <f>(Q63+S63)*AI63</f>
        <v>42</v>
      </c>
      <c r="AM63" s="1">
        <f>VLOOKUP(X63,[6]ölçme_sistemleri!I:N,6,FALSE)</f>
        <v>3</v>
      </c>
      <c r="AN63" s="1">
        <v>2</v>
      </c>
      <c r="AO63" s="1">
        <f t="shared" si="49"/>
        <v>6</v>
      </c>
      <c r="AP63" s="1">
        <v>14</v>
      </c>
      <c r="AQ63" s="1">
        <f t="shared" si="8"/>
        <v>42</v>
      </c>
      <c r="AR63" s="1">
        <f t="shared" si="50"/>
        <v>111</v>
      </c>
      <c r="AS63" s="1">
        <f>IF(BE63="s",25,25)</f>
        <v>25</v>
      </c>
      <c r="AT63" s="1">
        <f t="shared" si="51"/>
        <v>4</v>
      </c>
      <c r="AU63" s="1">
        <f t="shared" si="12"/>
        <v>0</v>
      </c>
      <c r="AV63" s="1">
        <f t="shared" si="33"/>
        <v>0</v>
      </c>
      <c r="AW63" s="1">
        <f t="shared" si="34"/>
        <v>0</v>
      </c>
      <c r="AX63" s="1">
        <f t="shared" si="35"/>
        <v>0</v>
      </c>
      <c r="AY63" s="1">
        <f t="shared" si="52"/>
        <v>-21</v>
      </c>
      <c r="AZ63" s="1">
        <f t="shared" si="36"/>
        <v>0</v>
      </c>
      <c r="BA63" s="1">
        <f t="shared" si="53"/>
        <v>-42</v>
      </c>
      <c r="BB63" s="1">
        <f t="shared" si="54"/>
        <v>0</v>
      </c>
      <c r="BC63" s="1">
        <f t="shared" si="55"/>
        <v>-6</v>
      </c>
      <c r="BD63" s="1">
        <f t="shared" si="56"/>
        <v>0</v>
      </c>
      <c r="BE63" s="1" t="s">
        <v>65</v>
      </c>
      <c r="BF63" s="1">
        <f t="shared" si="37"/>
        <v>42</v>
      </c>
      <c r="BG63" s="1">
        <f t="shared" si="57"/>
        <v>42</v>
      </c>
      <c r="BH63" s="1">
        <f t="shared" si="58"/>
        <v>1</v>
      </c>
      <c r="BI63" s="1" t="e">
        <f>IF(BH63-#REF!=0,"DOĞRU","YANLIŞ")</f>
        <v>#REF!</v>
      </c>
      <c r="BJ63" s="1" t="e">
        <f>#REF!-BH63</f>
        <v>#REF!</v>
      </c>
      <c r="BK63" s="1">
        <v>1</v>
      </c>
      <c r="BM63" s="1">
        <v>0</v>
      </c>
      <c r="BO63" s="1">
        <v>2</v>
      </c>
      <c r="BT63" s="8">
        <f t="shared" si="38"/>
        <v>0</v>
      </c>
      <c r="BU63" s="9"/>
      <c r="BV63" s="10"/>
      <c r="BW63" s="11"/>
      <c r="BX63" s="11"/>
      <c r="BY63" s="11"/>
      <c r="BZ63" s="11"/>
      <c r="CA63" s="11"/>
      <c r="CB63" s="12"/>
      <c r="CC63" s="13"/>
      <c r="CD63" s="14"/>
      <c r="CL63" s="11"/>
      <c r="CM63" s="11"/>
      <c r="CN63" s="11"/>
      <c r="CO63" s="11"/>
      <c r="CP63" s="11"/>
      <c r="CQ63" s="46"/>
      <c r="CR63" s="46"/>
      <c r="CS63" s="48"/>
      <c r="CT63" s="48"/>
      <c r="CU63" s="48"/>
      <c r="CV63" s="48"/>
      <c r="CW63" s="49"/>
      <c r="CX63" s="49"/>
    </row>
    <row r="64" spans="1:102" hidden="1" x14ac:dyDescent="0.25">
      <c r="A64" s="1" t="s">
        <v>79</v>
      </c>
      <c r="B64" s="1" t="s">
        <v>80</v>
      </c>
      <c r="C64" s="1" t="s">
        <v>80</v>
      </c>
      <c r="D64" s="2" t="s">
        <v>58</v>
      </c>
      <c r="E64" s="2" t="s">
        <v>58</v>
      </c>
      <c r="F64" s="3" t="e">
        <f>IF(BE64="S",
IF(#REF!+BM64=2018,
IF(#REF!=1,"18-19/1",
IF(#REF!=2,"18-19/2",
IF(#REF!=3,"19-20/1",
IF(#REF!=4,"19-20/2",
IF(#REF!=5,"20-21/1",
IF(#REF!=6,"20-21/2",
IF(#REF!=7,"21-22/1",
IF(#REF!=8,"21-22/2","Hata1")))))))),
IF(#REF!+BM64=2019,
IF(#REF!=1,"19-20/1",
IF(#REF!=2,"19-20/2",
IF(#REF!=3,"20-21/1",
IF(#REF!=4,"20-21/2",
IF(#REF!=5,"21-22/1",
IF(#REF!=6,"21-22/2",
IF(#REF!=7,"22-23/1",
IF(#REF!=8,"22-23/2","Hata2")))))))),
IF(#REF!+BM64=2020,
IF(#REF!=1,"20-21/1",
IF(#REF!=2,"20-21/2",
IF(#REF!=3,"21-22/1",
IF(#REF!=4,"21-22/2",
IF(#REF!=5,"22-23/1",
IF(#REF!=6,"22-23/2",
IF(#REF!=7,"23-24/1",
IF(#REF!=8,"23-24/2","Hata3")))))))),
IF(#REF!+BM64=2021,
IF(#REF!=1,"21-22/1",
IF(#REF!=2,"21-22/2",
IF(#REF!=3,"22-23/1",
IF(#REF!=4,"22-23/2",
IF(#REF!=5,"23-24/1",
IF(#REF!=6,"23-24/2",
IF(#REF!=7,"24-25/1",
IF(#REF!=8,"24-25/2","Hata4")))))))),
IF(#REF!+BM64=2022,
IF(#REF!=1,"22-23/1",
IF(#REF!=2,"22-23/2",
IF(#REF!=3,"23-24/1",
IF(#REF!=4,"23-24/2",
IF(#REF!=5,"24-25/1",
IF(#REF!=6,"24-25/2",
IF(#REF!=7,"25-26/1",
IF(#REF!=8,"25-26/2","Hata5")))))))),
IF(#REF!+BM64=2023,
IF(#REF!=1,"23-24/1",
IF(#REF!=2,"23-24/2",
IF(#REF!=3,"24-25/1",
IF(#REF!=4,"24-25/2",
IF(#REF!=5,"25-26/1",
IF(#REF!=6,"25-26/2",
IF(#REF!=7,"26-27/1",
IF(#REF!=8,"26-27/2","Hata6")))))))),
)))))),
IF(BE64="T",
IF(#REF!+BM64=2018,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4" s="1" t="s">
        <v>64</v>
      </c>
      <c r="L64" s="2">
        <v>3401</v>
      </c>
      <c r="N64" s="2">
        <v>4</v>
      </c>
      <c r="O64" s="6">
        <f t="shared" si="42"/>
        <v>2</v>
      </c>
      <c r="P64" s="2">
        <f t="shared" si="43"/>
        <v>2</v>
      </c>
      <c r="Q64" s="2">
        <v>2</v>
      </c>
      <c r="R64" s="2">
        <v>0</v>
      </c>
      <c r="S64" s="2">
        <v>0</v>
      </c>
      <c r="X64" s="3">
        <v>4</v>
      </c>
      <c r="Y64" s="1">
        <f>VLOOKUP(X64,[11]ölçme_sistemleri!I:L,2,FALSE)</f>
        <v>0</v>
      </c>
      <c r="Z64" s="1">
        <f>VLOOKUP(X64,[11]ölçme_sistemleri!I:L,3,FALSE)</f>
        <v>1</v>
      </c>
      <c r="AA64" s="1">
        <f>VLOOKUP(X64,[11]ölçme_sistemleri!I:L,4,FALSE)</f>
        <v>1</v>
      </c>
      <c r="AB64" s="1">
        <f>$O64*[11]ölçme_sistemleri!$J$13</f>
        <v>2</v>
      </c>
      <c r="AC64" s="1">
        <f>$O64*[11]ölçme_sistemleri!$K$13</f>
        <v>4</v>
      </c>
      <c r="AD64" s="1">
        <f>$O64*[11]ölçme_sistemleri!$L$13</f>
        <v>6</v>
      </c>
      <c r="AE64" s="1">
        <f t="shared" si="44"/>
        <v>0</v>
      </c>
      <c r="AF64" s="1">
        <f t="shared" si="45"/>
        <v>4</v>
      </c>
      <c r="AG64" s="1">
        <f t="shared" si="46"/>
        <v>6</v>
      </c>
      <c r="AH64" s="1">
        <f t="shared" si="47"/>
        <v>10</v>
      </c>
      <c r="AI64" s="1">
        <v>14</v>
      </c>
      <c r="AJ64" s="1">
        <f>VLOOKUP(X64,[11]ölçme_sistemleri!I:M,5,FALSE)</f>
        <v>1</v>
      </c>
      <c r="AK64" s="1">
        <f t="shared" si="48"/>
        <v>140</v>
      </c>
      <c r="AL64" s="1">
        <f>AI64*4</f>
        <v>56</v>
      </c>
      <c r="AM64" s="1">
        <f>VLOOKUP(X64,[11]ölçme_sistemleri!I:N,6,FALSE)</f>
        <v>2</v>
      </c>
      <c r="AN64" s="1">
        <v>2</v>
      </c>
      <c r="AO64" s="1">
        <f t="shared" si="49"/>
        <v>4</v>
      </c>
      <c r="AP64" s="1">
        <v>14</v>
      </c>
      <c r="AQ64" s="1">
        <f t="shared" si="8"/>
        <v>28</v>
      </c>
      <c r="AR64" s="1">
        <f t="shared" si="50"/>
        <v>98</v>
      </c>
      <c r="AS64" s="1">
        <f>IF(BE64="s",25,30)</f>
        <v>25</v>
      </c>
      <c r="AT64" s="1">
        <f t="shared" si="51"/>
        <v>4</v>
      </c>
      <c r="AU64" s="1">
        <f t="shared" si="12"/>
        <v>0</v>
      </c>
      <c r="AV64" s="1">
        <f t="shared" si="33"/>
        <v>0</v>
      </c>
      <c r="AW64" s="1">
        <f t="shared" si="34"/>
        <v>0</v>
      </c>
      <c r="AX64" s="1">
        <f t="shared" si="35"/>
        <v>0</v>
      </c>
      <c r="AY64" s="1">
        <f t="shared" si="52"/>
        <v>-10</v>
      </c>
      <c r="AZ64" s="1">
        <f t="shared" si="36"/>
        <v>0</v>
      </c>
      <c r="BA64" s="1">
        <f t="shared" si="53"/>
        <v>-56</v>
      </c>
      <c r="BB64" s="1">
        <f t="shared" si="54"/>
        <v>0</v>
      </c>
      <c r="BC64" s="1">
        <f t="shared" si="55"/>
        <v>-4</v>
      </c>
      <c r="BD64" s="1">
        <f t="shared" si="56"/>
        <v>0</v>
      </c>
      <c r="BE64" s="1" t="s">
        <v>65</v>
      </c>
      <c r="BF64" s="1">
        <f t="shared" si="37"/>
        <v>28</v>
      </c>
      <c r="BG64" s="1">
        <f t="shared" si="57"/>
        <v>28</v>
      </c>
      <c r="BH64" s="1">
        <f t="shared" si="58"/>
        <v>1</v>
      </c>
      <c r="BI64" s="1" t="e">
        <f>IF(BH64-#REF!=0,"DOĞRU","YANLIŞ")</f>
        <v>#REF!</v>
      </c>
      <c r="BJ64" s="1" t="e">
        <f>#REF!-BH64</f>
        <v>#REF!</v>
      </c>
      <c r="BK64" s="1">
        <v>0</v>
      </c>
      <c r="BM64" s="1">
        <v>0</v>
      </c>
      <c r="BO64" s="1">
        <v>4</v>
      </c>
      <c r="BT64" s="8">
        <f t="shared" si="38"/>
        <v>0</v>
      </c>
      <c r="BU64" s="9"/>
      <c r="BV64" s="10"/>
      <c r="BW64" s="11"/>
      <c r="BX64" s="11"/>
      <c r="BY64" s="11"/>
      <c r="BZ64" s="11"/>
      <c r="CA64" s="11"/>
      <c r="CB64" s="12"/>
      <c r="CC64" s="13"/>
      <c r="CD64" s="14"/>
      <c r="CL64" s="11"/>
      <c r="CM64" s="11"/>
      <c r="CN64" s="11"/>
      <c r="CO64" s="50"/>
      <c r="CP64" s="11"/>
      <c r="CQ64" s="54"/>
      <c r="CR64" s="46"/>
      <c r="CS64" s="54"/>
      <c r="CT64" s="48"/>
      <c r="CU64" s="48"/>
      <c r="CV64" s="48"/>
      <c r="CW64" s="49"/>
      <c r="CX64" s="49"/>
    </row>
    <row r="65" spans="1:102" hidden="1" x14ac:dyDescent="0.25">
      <c r="A65" s="1" t="s">
        <v>127</v>
      </c>
      <c r="B65" s="1" t="s">
        <v>128</v>
      </c>
      <c r="C65" s="1" t="s">
        <v>128</v>
      </c>
      <c r="D65" s="2" t="s">
        <v>63</v>
      </c>
      <c r="E65" s="2" t="s">
        <v>63</v>
      </c>
      <c r="F65" s="3" t="e">
        <f>IF(BE65="S",
IF(#REF!+BM65=2018,
IF(#REF!=1,"18-19/1",
IF(#REF!=2,"18-19/2",
IF(#REF!=3,"19-20/1",
IF(#REF!=4,"19-20/2",
IF(#REF!=5,"20-21/1",
IF(#REF!=6,"20-21/2",
IF(#REF!=7,"21-22/1",
IF(#REF!=8,"21-22/2","Hata1")))))))),
IF(#REF!+BM65=2019,
IF(#REF!=1,"19-20/1",
IF(#REF!=2,"19-20/2",
IF(#REF!=3,"20-21/1",
IF(#REF!=4,"20-21/2",
IF(#REF!=5,"21-22/1",
IF(#REF!=6,"21-22/2",
IF(#REF!=7,"22-23/1",
IF(#REF!=8,"22-23/2","Hata2")))))))),
IF(#REF!+BM65=2020,
IF(#REF!=1,"20-21/1",
IF(#REF!=2,"20-21/2",
IF(#REF!=3,"21-22/1",
IF(#REF!=4,"21-22/2",
IF(#REF!=5,"22-23/1",
IF(#REF!=6,"22-23/2",
IF(#REF!=7,"23-24/1",
IF(#REF!=8,"23-24/2","Hata3")))))))),
IF(#REF!+BM65=2021,
IF(#REF!=1,"21-22/1",
IF(#REF!=2,"21-22/2",
IF(#REF!=3,"22-23/1",
IF(#REF!=4,"22-23/2",
IF(#REF!=5,"23-24/1",
IF(#REF!=6,"23-24/2",
IF(#REF!=7,"24-25/1",
IF(#REF!=8,"24-25/2","Hata4")))))))),
IF(#REF!+BM65=2022,
IF(#REF!=1,"22-23/1",
IF(#REF!=2,"22-23/2",
IF(#REF!=3,"23-24/1",
IF(#REF!=4,"23-24/2",
IF(#REF!=5,"24-25/1",
IF(#REF!=6,"24-25/2",
IF(#REF!=7,"25-26/1",
IF(#REF!=8,"25-26/2","Hata5")))))))),
IF(#REF!+BM65=2023,
IF(#REF!=1,"23-24/1",
IF(#REF!=2,"23-24/2",
IF(#REF!=3,"24-25/1",
IF(#REF!=4,"24-25/2",
IF(#REF!=5,"25-26/1",
IF(#REF!=6,"25-26/2",
IF(#REF!=7,"26-27/1",
IF(#REF!=8,"26-27/2","Hata6")))))))),
)))))),
IF(BE65="T",
IF(#REF!+BM65=2018,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5" s="1" t="s">
        <v>64</v>
      </c>
      <c r="L65" s="2">
        <v>3422</v>
      </c>
      <c r="N65" s="2">
        <v>3</v>
      </c>
      <c r="O65" s="6">
        <f t="shared" si="42"/>
        <v>2</v>
      </c>
      <c r="P65" s="2">
        <f t="shared" si="43"/>
        <v>2</v>
      </c>
      <c r="Q65" s="2">
        <v>0</v>
      </c>
      <c r="R65" s="2">
        <v>0</v>
      </c>
      <c r="S65" s="2">
        <v>2</v>
      </c>
      <c r="X65" s="3">
        <v>2</v>
      </c>
      <c r="Y65" s="1">
        <f>VLOOKUP(X65,[10]ölçme_sistemleri!I:L,2,FALSE)</f>
        <v>0</v>
      </c>
      <c r="Z65" s="1">
        <f>VLOOKUP(X65,[10]ölçme_sistemleri!I:L,3,FALSE)</f>
        <v>2</v>
      </c>
      <c r="AA65" s="1">
        <f>VLOOKUP(X65,[10]ölçme_sistemleri!I:L,4,FALSE)</f>
        <v>1</v>
      </c>
      <c r="AB65" s="1">
        <f>$O65*[10]ölçme_sistemleri!$J$13</f>
        <v>2</v>
      </c>
      <c r="AC65" s="1">
        <f>$O65*[10]ölçme_sistemleri!$K$13</f>
        <v>4</v>
      </c>
      <c r="AD65" s="1">
        <f>$O65*[10]ölçme_sistemleri!$L$13</f>
        <v>6</v>
      </c>
      <c r="AE65" s="1">
        <f t="shared" si="44"/>
        <v>0</v>
      </c>
      <c r="AF65" s="1">
        <f t="shared" si="45"/>
        <v>8</v>
      </c>
      <c r="AG65" s="1">
        <f t="shared" si="46"/>
        <v>6</v>
      </c>
      <c r="AH65" s="1">
        <f t="shared" si="47"/>
        <v>14</v>
      </c>
      <c r="AI65" s="1">
        <v>14</v>
      </c>
      <c r="AJ65" s="1">
        <f>VLOOKUP(X65,[10]ölçme_sistemleri!I:M,5,FALSE)</f>
        <v>2</v>
      </c>
      <c r="AK65" s="1">
        <f t="shared" si="48"/>
        <v>196</v>
      </c>
      <c r="AL65" s="1">
        <f>(Q65+S65)*AI65</f>
        <v>28</v>
      </c>
      <c r="AM65" s="1">
        <f>VLOOKUP(X65,[10]ölçme_sistemleri!I:N,6,FALSE)</f>
        <v>3</v>
      </c>
      <c r="AN65" s="1">
        <v>2</v>
      </c>
      <c r="AO65" s="1">
        <f t="shared" si="49"/>
        <v>6</v>
      </c>
      <c r="AP65" s="1">
        <v>14</v>
      </c>
      <c r="AQ65" s="1">
        <f t="shared" si="8"/>
        <v>28</v>
      </c>
      <c r="AR65" s="1">
        <f t="shared" si="50"/>
        <v>76</v>
      </c>
      <c r="AS65" s="1">
        <f>IF(BE65="s",25,30)</f>
        <v>25</v>
      </c>
      <c r="AT65" s="1">
        <f t="shared" si="51"/>
        <v>3</v>
      </c>
      <c r="AU65" s="1">
        <f t="shared" si="12"/>
        <v>0</v>
      </c>
      <c r="AV65" s="1">
        <f t="shared" si="33"/>
        <v>0</v>
      </c>
      <c r="AW65" s="1">
        <f t="shared" si="34"/>
        <v>0</v>
      </c>
      <c r="AX65" s="1">
        <f t="shared" si="35"/>
        <v>0</v>
      </c>
      <c r="AY65" s="1">
        <f t="shared" si="52"/>
        <v>-14</v>
      </c>
      <c r="AZ65" s="1">
        <f t="shared" si="36"/>
        <v>0</v>
      </c>
      <c r="BA65" s="1">
        <f t="shared" si="53"/>
        <v>-28</v>
      </c>
      <c r="BB65" s="1">
        <f t="shared" si="54"/>
        <v>0</v>
      </c>
      <c r="BC65" s="1">
        <f t="shared" si="55"/>
        <v>-6</v>
      </c>
      <c r="BD65" s="1">
        <f t="shared" si="56"/>
        <v>0</v>
      </c>
      <c r="BE65" s="1" t="s">
        <v>65</v>
      </c>
      <c r="BF65" s="1">
        <f t="shared" si="37"/>
        <v>28</v>
      </c>
      <c r="BG65" s="1">
        <f t="shared" si="57"/>
        <v>28</v>
      </c>
      <c r="BH65" s="1">
        <f t="shared" si="58"/>
        <v>1</v>
      </c>
      <c r="BI65" s="1" t="e">
        <f>IF(BH65-#REF!=0,"DOĞRU","YANLIŞ")</f>
        <v>#REF!</v>
      </c>
      <c r="BJ65" s="1" t="e">
        <f>#REF!-BH65</f>
        <v>#REF!</v>
      </c>
      <c r="BK65" s="1">
        <v>1</v>
      </c>
      <c r="BM65" s="1">
        <v>0</v>
      </c>
      <c r="BO65" s="1">
        <v>2</v>
      </c>
      <c r="BT65" s="8">
        <f t="shared" si="38"/>
        <v>0</v>
      </c>
      <c r="BU65" s="9"/>
      <c r="BV65" s="10"/>
      <c r="BW65" s="11"/>
      <c r="BX65" s="11"/>
      <c r="BY65" s="11"/>
      <c r="BZ65" s="11"/>
      <c r="CA65" s="11"/>
      <c r="CB65" s="12"/>
      <c r="CC65" s="13"/>
      <c r="CD65" s="14"/>
      <c r="CL65" s="11"/>
      <c r="CM65" s="11"/>
      <c r="CN65" s="11"/>
      <c r="CO65" s="11"/>
      <c r="CP65" s="11"/>
      <c r="CQ65" s="54"/>
      <c r="CR65" s="46"/>
      <c r="CS65" s="54"/>
      <c r="CT65" s="48"/>
      <c r="CU65" s="48"/>
      <c r="CV65" s="48"/>
      <c r="CW65" s="49"/>
      <c r="CX65" s="49"/>
    </row>
    <row r="66" spans="1:102" hidden="1" x14ac:dyDescent="0.25">
      <c r="A66" s="1" t="s">
        <v>129</v>
      </c>
      <c r="B66" s="1" t="s">
        <v>130</v>
      </c>
      <c r="C66" s="1" t="s">
        <v>130</v>
      </c>
      <c r="D66" s="2" t="s">
        <v>63</v>
      </c>
      <c r="E66" s="2" t="s">
        <v>63</v>
      </c>
      <c r="F66" s="3" t="e">
        <f>IF(BE66="S",
IF(#REF!+BM66=2018,
IF(#REF!=1,"18-19/1",
IF(#REF!=2,"18-19/2",
IF(#REF!=3,"19-20/1",
IF(#REF!=4,"19-20/2",
IF(#REF!=5,"20-21/1",
IF(#REF!=6,"20-21/2",
IF(#REF!=7,"21-22/1",
IF(#REF!=8,"21-22/2","Hata1")))))))),
IF(#REF!+BM66=2019,
IF(#REF!=1,"19-20/1",
IF(#REF!=2,"19-20/2",
IF(#REF!=3,"20-21/1",
IF(#REF!=4,"20-21/2",
IF(#REF!=5,"21-22/1",
IF(#REF!=6,"21-22/2",
IF(#REF!=7,"22-23/1",
IF(#REF!=8,"22-23/2","Hata2")))))))),
IF(#REF!+BM66=2020,
IF(#REF!=1,"20-21/1",
IF(#REF!=2,"20-21/2",
IF(#REF!=3,"21-22/1",
IF(#REF!=4,"21-22/2",
IF(#REF!=5,"22-23/1",
IF(#REF!=6,"22-23/2",
IF(#REF!=7,"23-24/1",
IF(#REF!=8,"23-24/2","Hata3")))))))),
IF(#REF!+BM66=2021,
IF(#REF!=1,"21-22/1",
IF(#REF!=2,"21-22/2",
IF(#REF!=3,"22-23/1",
IF(#REF!=4,"22-23/2",
IF(#REF!=5,"23-24/1",
IF(#REF!=6,"23-24/2",
IF(#REF!=7,"24-25/1",
IF(#REF!=8,"24-25/2","Hata4")))))))),
IF(#REF!+BM66=2022,
IF(#REF!=1,"22-23/1",
IF(#REF!=2,"22-23/2",
IF(#REF!=3,"23-24/1",
IF(#REF!=4,"23-24/2",
IF(#REF!=5,"24-25/1",
IF(#REF!=6,"24-25/2",
IF(#REF!=7,"25-26/1",
IF(#REF!=8,"25-26/2","Hata5")))))))),
IF(#REF!+BM66=2023,
IF(#REF!=1,"23-24/1",
IF(#REF!=2,"23-24/2",
IF(#REF!=3,"24-25/1",
IF(#REF!=4,"24-25/2",
IF(#REF!=5,"25-26/1",
IF(#REF!=6,"25-26/2",
IF(#REF!=7,"26-27/1",
IF(#REF!=8,"26-27/2","Hata6")))))))),
)))))),
IF(BE66="T",
IF(#REF!+BM66=2018,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6" s="1" t="s">
        <v>64</v>
      </c>
      <c r="L66" s="2">
        <v>3397</v>
      </c>
      <c r="N66" s="2">
        <v>4</v>
      </c>
      <c r="O66" s="6">
        <f t="shared" si="42"/>
        <v>3</v>
      </c>
      <c r="P66" s="2">
        <f t="shared" si="43"/>
        <v>3</v>
      </c>
      <c r="Q66" s="2">
        <v>0</v>
      </c>
      <c r="R66" s="2">
        <v>0</v>
      </c>
      <c r="S66" s="2">
        <v>3</v>
      </c>
      <c r="X66" s="3">
        <v>2</v>
      </c>
      <c r="Y66" s="1">
        <f>VLOOKUP(X66,[10]ölçme_sistemleri!I:L,2,FALSE)</f>
        <v>0</v>
      </c>
      <c r="Z66" s="1">
        <f>VLOOKUP(X66,[10]ölçme_sistemleri!I:L,3,FALSE)</f>
        <v>2</v>
      </c>
      <c r="AA66" s="1">
        <f>VLOOKUP(X66,[10]ölçme_sistemleri!I:L,4,FALSE)</f>
        <v>1</v>
      </c>
      <c r="AB66" s="1">
        <f>$O66*[10]ölçme_sistemleri!$J$13</f>
        <v>3</v>
      </c>
      <c r="AC66" s="1">
        <f>$O66*[10]ölçme_sistemleri!$K$13</f>
        <v>6</v>
      </c>
      <c r="AD66" s="1">
        <f>$O66*[10]ölçme_sistemleri!$L$13</f>
        <v>9</v>
      </c>
      <c r="AE66" s="1">
        <f t="shared" si="44"/>
        <v>0</v>
      </c>
      <c r="AF66" s="1">
        <f t="shared" si="45"/>
        <v>12</v>
      </c>
      <c r="AG66" s="1">
        <f t="shared" si="46"/>
        <v>9</v>
      </c>
      <c r="AH66" s="1">
        <f t="shared" si="47"/>
        <v>21</v>
      </c>
      <c r="AI66" s="1">
        <v>14</v>
      </c>
      <c r="AJ66" s="1">
        <f>VLOOKUP(X66,[10]ölçme_sistemleri!I:M,5,FALSE)</f>
        <v>2</v>
      </c>
      <c r="AK66" s="1">
        <f t="shared" si="48"/>
        <v>294</v>
      </c>
      <c r="AL66" s="1">
        <f>(Q66+S66)*AI66</f>
        <v>42</v>
      </c>
      <c r="AM66" s="1">
        <f>VLOOKUP(X66,[10]ölçme_sistemleri!I:N,6,FALSE)</f>
        <v>3</v>
      </c>
      <c r="AN66" s="1">
        <v>2</v>
      </c>
      <c r="AO66" s="1">
        <f t="shared" si="49"/>
        <v>6</v>
      </c>
      <c r="AP66" s="1">
        <v>14</v>
      </c>
      <c r="AQ66" s="1">
        <f t="shared" ref="AQ66:AQ129" si="59">AP66*P66</f>
        <v>42</v>
      </c>
      <c r="AR66" s="1">
        <f t="shared" si="50"/>
        <v>111</v>
      </c>
      <c r="AS66" s="1">
        <f>IF(BE66="s",25,30)</f>
        <v>25</v>
      </c>
      <c r="AT66" s="1">
        <f t="shared" si="51"/>
        <v>4</v>
      </c>
      <c r="AU66" s="1">
        <f t="shared" ref="AU66:AU129" si="60">ROUND(AT66-N66,0)</f>
        <v>0</v>
      </c>
      <c r="AV66" s="1">
        <f t="shared" ref="AV66:AV97" si="61">IF(BE66="s",IF(W66=0,0,
IF(W66=1,N66*4*4,
IF(W66=2,0,
IF(W66=3,N66*4*2,
IF(W66=4,0,
IF(W66=5,0,
IF(W66=6,0,
IF(W66=7,0)))))))),
IF(BE66="t",
IF(W66=0,0,
IF(W66=1,N66*4*4*0.8,
IF(W66=2,0,
IF(W66=3,N66*4*2*0.8,
IF(W66=4,0,
IF(W66=5,0,
IF(W66=6,0,
IF(W66=7,0))))))))))</f>
        <v>0</v>
      </c>
      <c r="AW66" s="1">
        <f t="shared" ref="AW66:AW97" si="62">IF(BE66="s",
IF(W66=0,0,
IF(W66=1,0,
IF(W66=2,N66*4*2,
IF(W66=3,N66*4,
IF(W66=4,N66*4,
IF(W66=5,0,
IF(W66=6,0,
IF(W66=7,N66*4)))))))),
IF(BE66="t",
IF(W66=0,0,
IF(W66=1,0,
IF(W66=2,N66*4*2*0.8,
IF(W66=3,N66*4*0.8,
IF(W66=4,N66*4*0.8,
IF(W66=5,0,
IF(W66=6,0,
IF(W66=7,N66*4))))))))))</f>
        <v>0</v>
      </c>
      <c r="AX66" s="1">
        <f t="shared" ref="AX66:AX97" si="63">IF(BE66="s",
IF(W66=0,0,
IF(W66=1,N66*2,
IF(W66=2,N66*2,
IF(W66=3,N66*2,
IF(W66=4,N66*2,
IF(W66=5,N66*2,
IF(W66=6,N66*2,
IF(W66=7,N66*2)))))))),
IF(BE66="t",
IF(W66=0,O66*2*0.8,
IF(W66=1,N66*2*0.8,
IF(W66=2,N66*2*0.8,
IF(W66=3,N66*2*0.8,
IF(W66=4,N66*2*0.8,
IF(W66=5,N66*2*0.8,
IF(W66=6,N66*1*0.8,
IF(W66=7,N66*2))))))))))</f>
        <v>0</v>
      </c>
      <c r="AY66" s="1">
        <f t="shared" si="52"/>
        <v>-21</v>
      </c>
      <c r="AZ66" s="1">
        <f t="shared" ref="AZ66:AZ97" si="64">IF(BE66="s",
IF(W66=0,0,
IF(W66=1,(14-2)*(P66+R66)/4*4,
IF(W66=2,(14-2)*(P66+R66)/4*2,
IF(W66=3,(14-2)*(P66+R66)/4*3,
IF(W66=4,(14-2)*(P66+R66)/4,
IF(W66=5,(14-2)*N66/4,
IF(W66=6,0,
IF(W66=7,(14)*R66)))))))),
IF(BE66="t",
IF(W66=0,0,
IF(W66=1,(11-2)*(P66+R66)/4*4,
IF(W66=2,(11-2)*(P66+R66)/4*2,
IF(W66=3,(11-2)*(P66+R66)/4*3,
IF(W66=4,(11-2)*(P66+R66)/4,
IF(W66=5,(11-2)*N66/4,
IF(W66=6,0,
IF(W66=7,(11)*N66))))))))))</f>
        <v>0</v>
      </c>
      <c r="BA66" s="1">
        <f t="shared" si="53"/>
        <v>-42</v>
      </c>
      <c r="BB66" s="1">
        <f t="shared" si="54"/>
        <v>0</v>
      </c>
      <c r="BC66" s="1">
        <f t="shared" si="55"/>
        <v>-6</v>
      </c>
      <c r="BD66" s="1">
        <f t="shared" si="56"/>
        <v>0</v>
      </c>
      <c r="BE66" s="1" t="s">
        <v>65</v>
      </c>
      <c r="BF66" s="1">
        <f t="shared" ref="BF66:BF88" si="65">IF(BL66="A",0,IF(BE66="s",14*O66,IF(BE66="T",11*O66,"HATA")))</f>
        <v>42</v>
      </c>
      <c r="BG66" s="1">
        <f t="shared" si="57"/>
        <v>42</v>
      </c>
      <c r="BH66" s="1">
        <f t="shared" si="58"/>
        <v>1</v>
      </c>
      <c r="BI66" s="1" t="e">
        <f>IF(BH66-#REF!=0,"DOĞRU","YANLIŞ")</f>
        <v>#REF!</v>
      </c>
      <c r="BJ66" s="1" t="e">
        <f>#REF!-BH66</f>
        <v>#REF!</v>
      </c>
      <c r="BK66" s="1">
        <v>1</v>
      </c>
      <c r="BM66" s="1">
        <v>0</v>
      </c>
      <c r="BO66" s="1">
        <v>2</v>
      </c>
      <c r="BT66" s="8">
        <f t="shared" ref="BT66:BT97" si="66">R66*14</f>
        <v>0</v>
      </c>
      <c r="BU66" s="9"/>
      <c r="BV66" s="10"/>
      <c r="BW66" s="11"/>
      <c r="BX66" s="11"/>
      <c r="BY66" s="11"/>
      <c r="BZ66" s="11"/>
      <c r="CA66" s="11"/>
      <c r="CB66" s="12"/>
      <c r="CC66" s="13"/>
      <c r="CD66" s="14"/>
      <c r="CL66" s="11"/>
      <c r="CM66" s="11"/>
      <c r="CN66" s="50"/>
      <c r="CO66" s="50"/>
      <c r="CP66" s="50"/>
      <c r="CQ66" s="56"/>
      <c r="CR66" s="57"/>
      <c r="CS66" s="53"/>
      <c r="CT66" s="53"/>
      <c r="CU66" s="53"/>
      <c r="CV66" s="53"/>
      <c r="CW66" s="49"/>
      <c r="CX66" s="49"/>
    </row>
    <row r="67" spans="1:102" hidden="1" x14ac:dyDescent="0.25">
      <c r="A67" s="1" t="s">
        <v>146</v>
      </c>
      <c r="B67" s="1" t="s">
        <v>147</v>
      </c>
      <c r="C67" s="1" t="s">
        <v>147</v>
      </c>
      <c r="D67" s="2" t="s">
        <v>63</v>
      </c>
      <c r="E67" s="2" t="s">
        <v>63</v>
      </c>
      <c r="F67" s="3" t="e">
        <f>IF(BE67="S",
IF(#REF!+BM67=2018,
IF(#REF!=1,"18-19/1",
IF(#REF!=2,"18-19/2",
IF(#REF!=3,"19-20/1",
IF(#REF!=4,"19-20/2",
IF(#REF!=5,"20-21/1",
IF(#REF!=6,"20-21/2",
IF(#REF!=7,"21-22/1",
IF(#REF!=8,"21-22/2","Hata1")))))))),
IF(#REF!+BM67=2019,
IF(#REF!=1,"19-20/1",
IF(#REF!=2,"19-20/2",
IF(#REF!=3,"20-21/1",
IF(#REF!=4,"20-21/2",
IF(#REF!=5,"21-22/1",
IF(#REF!=6,"21-22/2",
IF(#REF!=7,"22-23/1",
IF(#REF!=8,"22-23/2","Hata2")))))))),
IF(#REF!+BM67=2020,
IF(#REF!=1,"20-21/1",
IF(#REF!=2,"20-21/2",
IF(#REF!=3,"21-22/1",
IF(#REF!=4,"21-22/2",
IF(#REF!=5,"22-23/1",
IF(#REF!=6,"22-23/2",
IF(#REF!=7,"23-24/1",
IF(#REF!=8,"23-24/2","Hata3")))))))),
IF(#REF!+BM67=2021,
IF(#REF!=1,"21-22/1",
IF(#REF!=2,"21-22/2",
IF(#REF!=3,"22-23/1",
IF(#REF!=4,"22-23/2",
IF(#REF!=5,"23-24/1",
IF(#REF!=6,"23-24/2",
IF(#REF!=7,"24-25/1",
IF(#REF!=8,"24-25/2","Hata4")))))))),
IF(#REF!+BM67=2022,
IF(#REF!=1,"22-23/1",
IF(#REF!=2,"22-23/2",
IF(#REF!=3,"23-24/1",
IF(#REF!=4,"23-24/2",
IF(#REF!=5,"24-25/1",
IF(#REF!=6,"24-25/2",
IF(#REF!=7,"25-26/1",
IF(#REF!=8,"25-26/2","Hata5")))))))),
IF(#REF!+BM67=2023,
IF(#REF!=1,"23-24/1",
IF(#REF!=2,"23-24/2",
IF(#REF!=3,"24-25/1",
IF(#REF!=4,"24-25/2",
IF(#REF!=5,"25-26/1",
IF(#REF!=6,"25-26/2",
IF(#REF!=7,"26-27/1",
IF(#REF!=8,"26-27/2","Hata6")))))))),
)))))),
IF(BE67="T",
IF(#REF!+BM67=2018,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7" s="1" t="s">
        <v>64</v>
      </c>
      <c r="L67" s="2">
        <v>3427</v>
      </c>
      <c r="N67" s="2">
        <v>4</v>
      </c>
      <c r="O67" s="6">
        <f t="shared" si="42"/>
        <v>3</v>
      </c>
      <c r="P67" s="2">
        <f t="shared" si="43"/>
        <v>3</v>
      </c>
      <c r="Q67" s="2">
        <v>0</v>
      </c>
      <c r="R67" s="2">
        <v>0</v>
      </c>
      <c r="S67" s="2">
        <v>3</v>
      </c>
      <c r="X67" s="3">
        <v>2</v>
      </c>
      <c r="Y67" s="1">
        <f>VLOOKUP(X67,[10]ölçme_sistemleri!I:L,2,FALSE)</f>
        <v>0</v>
      </c>
      <c r="Z67" s="1">
        <f>VLOOKUP(X67,[10]ölçme_sistemleri!I:L,3,FALSE)</f>
        <v>2</v>
      </c>
      <c r="AA67" s="1">
        <f>VLOOKUP(X67,[10]ölçme_sistemleri!I:L,4,FALSE)</f>
        <v>1</v>
      </c>
      <c r="AB67" s="1">
        <f>$O67*[10]ölçme_sistemleri!$J$13</f>
        <v>3</v>
      </c>
      <c r="AC67" s="1">
        <f>$O67*[10]ölçme_sistemleri!$K$13</f>
        <v>6</v>
      </c>
      <c r="AD67" s="1">
        <f>$O67*[10]ölçme_sistemleri!$L$13</f>
        <v>9</v>
      </c>
      <c r="AE67" s="1">
        <f t="shared" si="44"/>
        <v>0</v>
      </c>
      <c r="AF67" s="1">
        <f t="shared" si="45"/>
        <v>12</v>
      </c>
      <c r="AG67" s="1">
        <f t="shared" si="46"/>
        <v>9</v>
      </c>
      <c r="AH67" s="1">
        <f t="shared" si="47"/>
        <v>21</v>
      </c>
      <c r="AI67" s="1">
        <v>14</v>
      </c>
      <c r="AJ67" s="1">
        <f>VLOOKUP(X67,[10]ölçme_sistemleri!I:M,5,FALSE)</f>
        <v>2</v>
      </c>
      <c r="AK67" s="1">
        <f t="shared" si="48"/>
        <v>294</v>
      </c>
      <c r="AL67" s="1">
        <f>(Q67+S67)*AI67</f>
        <v>42</v>
      </c>
      <c r="AM67" s="1">
        <f>VLOOKUP(X67,[10]ölçme_sistemleri!I:N,6,FALSE)</f>
        <v>3</v>
      </c>
      <c r="AN67" s="1">
        <v>2</v>
      </c>
      <c r="AO67" s="1">
        <f t="shared" si="49"/>
        <v>6</v>
      </c>
      <c r="AP67" s="1">
        <v>14</v>
      </c>
      <c r="AQ67" s="1">
        <f t="shared" si="59"/>
        <v>42</v>
      </c>
      <c r="AR67" s="1">
        <f t="shared" si="50"/>
        <v>111</v>
      </c>
      <c r="AS67" s="1">
        <f>IF(BE67="s",25,30)</f>
        <v>25</v>
      </c>
      <c r="AT67" s="1">
        <f t="shared" si="51"/>
        <v>4</v>
      </c>
      <c r="AU67" s="1">
        <f t="shared" si="60"/>
        <v>0</v>
      </c>
      <c r="AV67" s="1">
        <f t="shared" si="61"/>
        <v>0</v>
      </c>
      <c r="AW67" s="1">
        <f t="shared" si="62"/>
        <v>0</v>
      </c>
      <c r="AX67" s="1">
        <f t="shared" si="63"/>
        <v>0</v>
      </c>
      <c r="AY67" s="1">
        <f t="shared" si="52"/>
        <v>-21</v>
      </c>
      <c r="AZ67" s="1">
        <f t="shared" si="64"/>
        <v>0</v>
      </c>
      <c r="BA67" s="1">
        <f t="shared" si="53"/>
        <v>-42</v>
      </c>
      <c r="BB67" s="1">
        <f t="shared" si="54"/>
        <v>0</v>
      </c>
      <c r="BC67" s="1">
        <f t="shared" si="55"/>
        <v>-6</v>
      </c>
      <c r="BD67" s="1">
        <f t="shared" si="56"/>
        <v>0</v>
      </c>
      <c r="BE67" s="1" t="s">
        <v>65</v>
      </c>
      <c r="BF67" s="1">
        <f t="shared" si="65"/>
        <v>42</v>
      </c>
      <c r="BG67" s="1">
        <f t="shared" si="57"/>
        <v>42</v>
      </c>
      <c r="BH67" s="1">
        <f t="shared" si="58"/>
        <v>1</v>
      </c>
      <c r="BI67" s="1" t="e">
        <f>IF(BH67-#REF!=0,"DOĞRU","YANLIŞ")</f>
        <v>#REF!</v>
      </c>
      <c r="BJ67" s="1" t="e">
        <f>#REF!-BH67</f>
        <v>#REF!</v>
      </c>
      <c r="BK67" s="1">
        <v>1</v>
      </c>
      <c r="BM67" s="1">
        <v>0</v>
      </c>
      <c r="BO67" s="1">
        <v>2</v>
      </c>
      <c r="BT67" s="8">
        <f t="shared" si="66"/>
        <v>0</v>
      </c>
      <c r="BU67" s="9"/>
      <c r="BV67" s="10"/>
      <c r="BW67" s="11"/>
      <c r="BX67" s="11"/>
      <c r="BY67" s="11"/>
      <c r="BZ67" s="11"/>
      <c r="CA67" s="11"/>
      <c r="CB67" s="12"/>
      <c r="CC67" s="13"/>
      <c r="CD67" s="14"/>
      <c r="CL67" s="11"/>
      <c r="CM67" s="11"/>
      <c r="CN67" s="11"/>
      <c r="CO67" s="11"/>
      <c r="CP67" s="11"/>
      <c r="CQ67" s="49"/>
      <c r="CR67" s="46"/>
      <c r="CS67" s="48"/>
      <c r="CT67" s="48"/>
      <c r="CU67" s="48"/>
      <c r="CV67" s="48"/>
      <c r="CW67" s="49"/>
      <c r="CX67" s="49"/>
    </row>
    <row r="68" spans="1:102" hidden="1" x14ac:dyDescent="0.25">
      <c r="A68" s="1" t="s">
        <v>455</v>
      </c>
      <c r="B68" s="1" t="s">
        <v>454</v>
      </c>
      <c r="C68" s="1" t="s">
        <v>149</v>
      </c>
      <c r="D68" s="2" t="s">
        <v>63</v>
      </c>
      <c r="E68" s="2" t="s">
        <v>63</v>
      </c>
      <c r="F68" s="3" t="e">
        <f>IF(BE68="S",
IF(#REF!+BM68=2018,
IF(#REF!=1,"18-19/1",
IF(#REF!=2,"18-19/2",
IF(#REF!=3,"19-20/1",
IF(#REF!=4,"19-20/2",
IF(#REF!=5,"20-21/1",
IF(#REF!=6,"20-21/2",
IF(#REF!=7,"21-22/1",
IF(#REF!=8,"21-22/2","Hata1")))))))),
IF(#REF!+BM68=2019,
IF(#REF!=1,"19-20/1",
IF(#REF!=2,"19-20/2",
IF(#REF!=3,"20-21/1",
IF(#REF!=4,"20-21/2",
IF(#REF!=5,"21-22/1",
IF(#REF!=6,"21-22/2",
IF(#REF!=7,"22-23/1",
IF(#REF!=8,"22-23/2","Hata2")))))))),
IF(#REF!+BM68=2020,
IF(#REF!=1,"20-21/1",
IF(#REF!=2,"20-21/2",
IF(#REF!=3,"21-22/1",
IF(#REF!=4,"21-22/2",
IF(#REF!=5,"22-23/1",
IF(#REF!=6,"22-23/2",
IF(#REF!=7,"23-24/1",
IF(#REF!=8,"23-24/2","Hata3")))))))),
IF(#REF!+BM68=2021,
IF(#REF!=1,"21-22/1",
IF(#REF!=2,"21-22/2",
IF(#REF!=3,"22-23/1",
IF(#REF!=4,"22-23/2",
IF(#REF!=5,"23-24/1",
IF(#REF!=6,"23-24/2",
IF(#REF!=7,"24-25/1",
IF(#REF!=8,"24-25/2","Hata4")))))))),
IF(#REF!+BM68=2022,
IF(#REF!=1,"22-23/1",
IF(#REF!=2,"22-23/2",
IF(#REF!=3,"23-24/1",
IF(#REF!=4,"23-24/2",
IF(#REF!=5,"24-25/1",
IF(#REF!=6,"24-25/2",
IF(#REF!=7,"25-26/1",
IF(#REF!=8,"25-26/2","Hata5")))))))),
IF(#REF!+BM68=2023,
IF(#REF!=1,"23-24/1",
IF(#REF!=2,"23-24/2",
IF(#REF!=3,"24-25/1",
IF(#REF!=4,"24-25/2",
IF(#REF!=5,"25-26/1",
IF(#REF!=6,"25-26/2",
IF(#REF!=7,"26-27/1",
IF(#REF!=8,"26-27/2","Hata6")))))))),
)))))),
IF(BE68="T",
IF(#REF!+BM68=2018,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8" s="1" t="s">
        <v>185</v>
      </c>
      <c r="L68" s="2">
        <v>3655</v>
      </c>
      <c r="N68" s="2">
        <v>4</v>
      </c>
      <c r="O68" s="6">
        <f t="shared" si="42"/>
        <v>4</v>
      </c>
      <c r="P68" s="2">
        <f t="shared" si="43"/>
        <v>6</v>
      </c>
      <c r="Q68" s="2">
        <v>2</v>
      </c>
      <c r="R68" s="2">
        <v>4</v>
      </c>
      <c r="S68" s="2">
        <v>0</v>
      </c>
      <c r="X68" s="3">
        <v>5</v>
      </c>
      <c r="Y68" s="1">
        <f>VLOOKUP(X68,[4]ölçme_sistemleri!I:L,2,FALSE)</f>
        <v>0</v>
      </c>
      <c r="Z68" s="1">
        <f>VLOOKUP(X68,[4]ölçme_sistemleri!I:L,3,FALSE)</f>
        <v>0</v>
      </c>
      <c r="AA68" s="1">
        <f>VLOOKUP(X68,[4]ölçme_sistemleri!I:L,4,FALSE)</f>
        <v>1</v>
      </c>
      <c r="AB68" s="1">
        <f>$O68*[4]ölçme_sistemleri!J$13</f>
        <v>4</v>
      </c>
      <c r="AC68" s="1">
        <f>$O68*[4]ölçme_sistemleri!K$13</f>
        <v>8</v>
      </c>
      <c r="AD68" s="1">
        <f>$O68*[4]ölçme_sistemleri!L$13</f>
        <v>12</v>
      </c>
      <c r="AE68" s="1">
        <f t="shared" si="44"/>
        <v>0</v>
      </c>
      <c r="AF68" s="1">
        <f t="shared" si="45"/>
        <v>0</v>
      </c>
      <c r="AG68" s="1">
        <f t="shared" si="46"/>
        <v>12</v>
      </c>
      <c r="AH68" s="1">
        <f t="shared" si="47"/>
        <v>12</v>
      </c>
      <c r="AI68" s="1">
        <v>14</v>
      </c>
      <c r="AJ68" s="1">
        <f>VLOOKUP(X68,[4]ölçme_sistemleri!I:M,5,FALSE)</f>
        <v>0</v>
      </c>
      <c r="AK68" s="1">
        <f t="shared" si="48"/>
        <v>168</v>
      </c>
      <c r="AL68" s="1">
        <f>AI68*0</f>
        <v>0</v>
      </c>
      <c r="AM68" s="1">
        <f>VLOOKUP(X68,[4]ölçme_sistemleri!I:N,6,FALSE)</f>
        <v>1</v>
      </c>
      <c r="AN68" s="1">
        <v>2</v>
      </c>
      <c r="AO68" s="1">
        <f t="shared" si="49"/>
        <v>2</v>
      </c>
      <c r="AP68" s="1">
        <v>14</v>
      </c>
      <c r="AQ68" s="1">
        <f t="shared" si="59"/>
        <v>84</v>
      </c>
      <c r="AR68" s="1">
        <f t="shared" si="50"/>
        <v>98</v>
      </c>
      <c r="AS68" s="1">
        <f t="shared" ref="AS68:AS76" si="67">IF(BE68="s",25,25)</f>
        <v>25</v>
      </c>
      <c r="AT68" s="1">
        <f t="shared" si="51"/>
        <v>4</v>
      </c>
      <c r="AU68" s="1">
        <f t="shared" si="60"/>
        <v>0</v>
      </c>
      <c r="AV68" s="1">
        <f t="shared" si="61"/>
        <v>0</v>
      </c>
      <c r="AW68" s="1">
        <f t="shared" si="62"/>
        <v>0</v>
      </c>
      <c r="AX68" s="1">
        <f t="shared" si="63"/>
        <v>0</v>
      </c>
      <c r="AY68" s="1">
        <f t="shared" si="52"/>
        <v>-12</v>
      </c>
      <c r="AZ68" s="1">
        <f t="shared" si="64"/>
        <v>0</v>
      </c>
      <c r="BA68" s="1">
        <f t="shared" si="53"/>
        <v>0</v>
      </c>
      <c r="BB68" s="1">
        <f t="shared" si="54"/>
        <v>0</v>
      </c>
      <c r="BC68" s="1">
        <f t="shared" si="55"/>
        <v>-2</v>
      </c>
      <c r="BD68" s="1">
        <f t="shared" si="56"/>
        <v>0</v>
      </c>
      <c r="BE68" s="1" t="s">
        <v>65</v>
      </c>
      <c r="BF68" s="1">
        <f t="shared" si="65"/>
        <v>56</v>
      </c>
      <c r="BG68" s="1">
        <f t="shared" si="57"/>
        <v>56</v>
      </c>
      <c r="BH68" s="1">
        <f t="shared" si="58"/>
        <v>2</v>
      </c>
      <c r="BI68" s="1" t="e">
        <f>IF(BH68-#REF!=0,"DOĞRU","YANLIŞ")</f>
        <v>#REF!</v>
      </c>
      <c r="BJ68" s="1" t="e">
        <f>#REF!-BH68</f>
        <v>#REF!</v>
      </c>
      <c r="BK68" s="1">
        <v>0</v>
      </c>
      <c r="BM68" s="1">
        <v>0</v>
      </c>
      <c r="BO68" s="1">
        <v>5</v>
      </c>
      <c r="BT68" s="8">
        <f t="shared" si="66"/>
        <v>56</v>
      </c>
      <c r="BU68" s="9"/>
      <c r="BV68" s="10"/>
      <c r="BW68" s="11"/>
      <c r="BX68" s="11"/>
      <c r="BY68" s="11"/>
      <c r="BZ68" s="11"/>
      <c r="CA68" s="11"/>
      <c r="CB68" s="12"/>
      <c r="CC68" s="13"/>
      <c r="CD68" s="14"/>
      <c r="CL68" s="11"/>
      <c r="CM68" s="11"/>
      <c r="CN68" s="11"/>
      <c r="CO68" s="11"/>
      <c r="CP68" s="11"/>
      <c r="CQ68" s="49"/>
      <c r="CR68" s="46"/>
      <c r="CS68" s="49"/>
      <c r="CT68" s="48"/>
      <c r="CU68" s="49"/>
      <c r="CV68" s="48"/>
      <c r="CW68" s="49"/>
      <c r="CX68" s="49"/>
    </row>
    <row r="69" spans="1:102" hidden="1" x14ac:dyDescent="0.25">
      <c r="A69" s="1" t="s">
        <v>361</v>
      </c>
      <c r="B69" s="1" t="s">
        <v>362</v>
      </c>
      <c r="C69" s="1" t="s">
        <v>362</v>
      </c>
      <c r="D69" s="2" t="s">
        <v>63</v>
      </c>
      <c r="E69" s="2" t="s">
        <v>63</v>
      </c>
      <c r="F69" s="3" t="e">
        <f>IF(BE69="S",
IF(#REF!+BM69=2018,
IF(#REF!=1,"18-19/1",
IF(#REF!=2,"18-19/2",
IF(#REF!=3,"19-20/1",
IF(#REF!=4,"19-20/2",
IF(#REF!=5,"20-21/1",
IF(#REF!=6,"20-21/2",
IF(#REF!=7,"21-22/1",
IF(#REF!=8,"21-22/2","Hata1")))))))),
IF(#REF!+BM69=2019,
IF(#REF!=1,"19-20/1",
IF(#REF!=2,"19-20/2",
IF(#REF!=3,"20-21/1",
IF(#REF!=4,"20-21/2",
IF(#REF!=5,"21-22/1",
IF(#REF!=6,"21-22/2",
IF(#REF!=7,"22-23/1",
IF(#REF!=8,"22-23/2","Hata2")))))))),
IF(#REF!+BM69=2020,
IF(#REF!=1,"20-21/1",
IF(#REF!=2,"20-21/2",
IF(#REF!=3,"21-22/1",
IF(#REF!=4,"21-22/2",
IF(#REF!=5,"22-23/1",
IF(#REF!=6,"22-23/2",
IF(#REF!=7,"23-24/1",
IF(#REF!=8,"23-24/2","Hata3")))))))),
IF(#REF!+BM69=2021,
IF(#REF!=1,"21-22/1",
IF(#REF!=2,"21-22/2",
IF(#REF!=3,"22-23/1",
IF(#REF!=4,"22-23/2",
IF(#REF!=5,"23-24/1",
IF(#REF!=6,"23-24/2",
IF(#REF!=7,"24-25/1",
IF(#REF!=8,"24-25/2","Hata4")))))))),
IF(#REF!+BM69=2022,
IF(#REF!=1,"22-23/1",
IF(#REF!=2,"22-23/2",
IF(#REF!=3,"23-24/1",
IF(#REF!=4,"23-24/2",
IF(#REF!=5,"24-25/1",
IF(#REF!=6,"24-25/2",
IF(#REF!=7,"25-26/1",
IF(#REF!=8,"25-26/2","Hata5")))))))),
IF(#REF!+BM69=2023,
IF(#REF!=1,"23-24/1",
IF(#REF!=2,"23-24/2",
IF(#REF!=3,"24-25/1",
IF(#REF!=4,"24-25/2",
IF(#REF!=5,"25-26/1",
IF(#REF!=6,"25-26/2",
IF(#REF!=7,"26-27/1",
IF(#REF!=8,"26-27/2","Hata6")))))))),
)))))),
IF(BE69="T",
IF(#REF!+BM69=2018,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IF(#REF!+BM69=2019,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IF(#REF!+BM69=2020,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IF(#REF!+BM69=2021,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IF(#REF!+BM69=2022,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IF(#REF!+BM69=2023,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69" s="1" t="s">
        <v>185</v>
      </c>
      <c r="L69" s="2">
        <v>3663</v>
      </c>
      <c r="N69" s="2">
        <v>2</v>
      </c>
      <c r="O69" s="6">
        <f t="shared" si="42"/>
        <v>2</v>
      </c>
      <c r="P69" s="2">
        <f t="shared" si="43"/>
        <v>2</v>
      </c>
      <c r="Q69" s="2">
        <v>2</v>
      </c>
      <c r="R69" s="2">
        <v>0</v>
      </c>
      <c r="S69" s="2">
        <v>0</v>
      </c>
      <c r="X69" s="3">
        <v>4</v>
      </c>
      <c r="Y69" s="1">
        <f>VLOOKUP(X69,[4]ölçme_sistemleri!I:L,2,FALSE)</f>
        <v>0</v>
      </c>
      <c r="Z69" s="1">
        <f>VLOOKUP(X69,[4]ölçme_sistemleri!I:L,3,FALSE)</f>
        <v>1</v>
      </c>
      <c r="AA69" s="1">
        <f>VLOOKUP(X69,[4]ölçme_sistemleri!I:L,4,FALSE)</f>
        <v>1</v>
      </c>
      <c r="AB69" s="1">
        <f>$O69*[4]ölçme_sistemleri!J$13</f>
        <v>2</v>
      </c>
      <c r="AC69" s="1">
        <f>$O69*[4]ölçme_sistemleri!K$13</f>
        <v>4</v>
      </c>
      <c r="AD69" s="1">
        <f>$O69*[4]ölçme_sistemleri!L$13</f>
        <v>6</v>
      </c>
      <c r="AE69" s="1">
        <f t="shared" si="44"/>
        <v>0</v>
      </c>
      <c r="AF69" s="1">
        <f t="shared" si="45"/>
        <v>4</v>
      </c>
      <c r="AG69" s="1">
        <f t="shared" si="46"/>
        <v>6</v>
      </c>
      <c r="AH69" s="1">
        <f t="shared" si="47"/>
        <v>10</v>
      </c>
      <c r="AI69" s="1">
        <v>14</v>
      </c>
      <c r="AJ69" s="1">
        <f>VLOOKUP(X69,[4]ölçme_sistemleri!I:M,5,FALSE)</f>
        <v>1</v>
      </c>
      <c r="AK69" s="1">
        <f t="shared" si="48"/>
        <v>140</v>
      </c>
      <c r="AL69" s="1">
        <f>AI69*0</f>
        <v>0</v>
      </c>
      <c r="AM69" s="1">
        <f>VLOOKUP(X69,[4]ölçme_sistemleri!I:N,6,FALSE)</f>
        <v>2</v>
      </c>
      <c r="AN69" s="1">
        <v>2</v>
      </c>
      <c r="AO69" s="1">
        <f t="shared" si="49"/>
        <v>4</v>
      </c>
      <c r="AP69" s="1">
        <v>14</v>
      </c>
      <c r="AQ69" s="1">
        <f t="shared" si="59"/>
        <v>28</v>
      </c>
      <c r="AR69" s="1">
        <f t="shared" si="50"/>
        <v>42</v>
      </c>
      <c r="AS69" s="1">
        <f t="shared" si="67"/>
        <v>25</v>
      </c>
      <c r="AT69" s="1">
        <f t="shared" si="51"/>
        <v>2</v>
      </c>
      <c r="AU69" s="1">
        <f t="shared" si="60"/>
        <v>0</v>
      </c>
      <c r="AV69" s="1">
        <f t="shared" si="61"/>
        <v>0</v>
      </c>
      <c r="AW69" s="1">
        <f t="shared" si="62"/>
        <v>0</v>
      </c>
      <c r="AX69" s="1">
        <f t="shared" si="63"/>
        <v>0</v>
      </c>
      <c r="AY69" s="1">
        <f t="shared" si="52"/>
        <v>-10</v>
      </c>
      <c r="AZ69" s="1">
        <f t="shared" si="64"/>
        <v>0</v>
      </c>
      <c r="BA69" s="1">
        <f t="shared" si="53"/>
        <v>0</v>
      </c>
      <c r="BB69" s="1">
        <f t="shared" si="54"/>
        <v>0</v>
      </c>
      <c r="BC69" s="1">
        <f t="shared" si="55"/>
        <v>-4</v>
      </c>
      <c r="BD69" s="1">
        <f t="shared" si="56"/>
        <v>0</v>
      </c>
      <c r="BE69" s="1" t="s">
        <v>65</v>
      </c>
      <c r="BF69" s="1">
        <f t="shared" si="65"/>
        <v>28</v>
      </c>
      <c r="BG69" s="1">
        <f t="shared" si="57"/>
        <v>28</v>
      </c>
      <c r="BH69" s="1">
        <f t="shared" si="58"/>
        <v>1</v>
      </c>
      <c r="BI69" s="1" t="e">
        <f>IF(BH69-#REF!=0,"DOĞRU","YANLIŞ")</f>
        <v>#REF!</v>
      </c>
      <c r="BJ69" s="1" t="e">
        <f>#REF!-BH69</f>
        <v>#REF!</v>
      </c>
      <c r="BK69" s="1">
        <v>0</v>
      </c>
      <c r="BM69" s="1">
        <v>0</v>
      </c>
      <c r="BO69" s="1">
        <v>4</v>
      </c>
      <c r="BT69" s="8">
        <f t="shared" si="66"/>
        <v>0</v>
      </c>
      <c r="BU69" s="9"/>
      <c r="BV69" s="10"/>
      <c r="BW69" s="11"/>
      <c r="BX69" s="11"/>
      <c r="BY69" s="11"/>
      <c r="BZ69" s="11"/>
      <c r="CA69" s="11"/>
      <c r="CB69" s="12"/>
      <c r="CC69" s="13"/>
      <c r="CD69" s="14"/>
      <c r="CL69" s="11"/>
      <c r="CM69" s="50"/>
      <c r="CN69" s="50"/>
      <c r="CO69" s="11"/>
      <c r="CP69" s="50"/>
      <c r="CQ69" s="49"/>
      <c r="CR69" s="46"/>
      <c r="CS69" s="49"/>
      <c r="CT69" s="48"/>
      <c r="CU69" s="49"/>
      <c r="CV69" s="48"/>
      <c r="CW69" s="49"/>
      <c r="CX69" s="49"/>
    </row>
    <row r="70" spans="1:102" hidden="1" x14ac:dyDescent="0.25">
      <c r="A70" s="1" t="s">
        <v>357</v>
      </c>
      <c r="B70" s="1" t="s">
        <v>358</v>
      </c>
      <c r="C70" s="1" t="s">
        <v>358</v>
      </c>
      <c r="D70" s="2" t="s">
        <v>63</v>
      </c>
      <c r="E70" s="2" t="s">
        <v>63</v>
      </c>
      <c r="F70" s="3" t="e">
        <f>IF(BE70="S",
IF(#REF!+BM70=2018,
IF(#REF!=1,"18-19/1",
IF(#REF!=2,"18-19/2",
IF(#REF!=3,"19-20/1",
IF(#REF!=4,"19-20/2",
IF(#REF!=5,"20-21/1",
IF(#REF!=6,"20-21/2",
IF(#REF!=7,"21-22/1",
IF(#REF!=8,"21-22/2","Hata1")))))))),
IF(#REF!+BM70=2019,
IF(#REF!=1,"19-20/1",
IF(#REF!=2,"19-20/2",
IF(#REF!=3,"20-21/1",
IF(#REF!=4,"20-21/2",
IF(#REF!=5,"21-22/1",
IF(#REF!=6,"21-22/2",
IF(#REF!=7,"22-23/1",
IF(#REF!=8,"22-23/2","Hata2")))))))),
IF(#REF!+BM70=2020,
IF(#REF!=1,"20-21/1",
IF(#REF!=2,"20-21/2",
IF(#REF!=3,"21-22/1",
IF(#REF!=4,"21-22/2",
IF(#REF!=5,"22-23/1",
IF(#REF!=6,"22-23/2",
IF(#REF!=7,"23-24/1",
IF(#REF!=8,"23-24/2","Hata3")))))))),
IF(#REF!+BM70=2021,
IF(#REF!=1,"21-22/1",
IF(#REF!=2,"21-22/2",
IF(#REF!=3,"22-23/1",
IF(#REF!=4,"22-23/2",
IF(#REF!=5,"23-24/1",
IF(#REF!=6,"23-24/2",
IF(#REF!=7,"24-25/1",
IF(#REF!=8,"24-25/2","Hata4")))))))),
IF(#REF!+BM70=2022,
IF(#REF!=1,"22-23/1",
IF(#REF!=2,"22-23/2",
IF(#REF!=3,"23-24/1",
IF(#REF!=4,"23-24/2",
IF(#REF!=5,"24-25/1",
IF(#REF!=6,"24-25/2",
IF(#REF!=7,"25-26/1",
IF(#REF!=8,"25-26/2","Hata5")))))))),
IF(#REF!+BM70=2023,
IF(#REF!=1,"23-24/1",
IF(#REF!=2,"23-24/2",
IF(#REF!=3,"24-25/1",
IF(#REF!=4,"24-25/2",
IF(#REF!=5,"25-26/1",
IF(#REF!=6,"25-26/2",
IF(#REF!=7,"26-27/1",
IF(#REF!=8,"26-27/2","Hata6")))))))),
)))))),
IF(BE70="T",
IF(#REF!+BM70=2018,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0" s="1" t="s">
        <v>185</v>
      </c>
      <c r="L70" s="2">
        <v>4366</v>
      </c>
      <c r="N70" s="2">
        <v>1</v>
      </c>
      <c r="O70" s="6">
        <f t="shared" si="42"/>
        <v>1</v>
      </c>
      <c r="P70" s="2">
        <f t="shared" si="43"/>
        <v>1</v>
      </c>
      <c r="Q70" s="2">
        <v>1</v>
      </c>
      <c r="R70" s="2">
        <v>0</v>
      </c>
      <c r="S70" s="2">
        <v>0</v>
      </c>
      <c r="X70" s="3">
        <v>0</v>
      </c>
      <c r="Y70" s="1">
        <f>VLOOKUP(X70,[4]ölçme_sistemleri!I:L,2,FALSE)</f>
        <v>0</v>
      </c>
      <c r="Z70" s="1">
        <f>VLOOKUP(X70,[4]ölçme_sistemleri!I:L,3,FALSE)</f>
        <v>0</v>
      </c>
      <c r="AA70" s="1">
        <f>VLOOKUP(X70,[4]ölçme_sistemleri!I:L,4,FALSE)</f>
        <v>0</v>
      </c>
      <c r="AB70" s="1">
        <f>$O70*[4]ölçme_sistemleri!J$13</f>
        <v>1</v>
      </c>
      <c r="AC70" s="1">
        <f>$O70*[4]ölçme_sistemleri!K$13</f>
        <v>2</v>
      </c>
      <c r="AD70" s="1">
        <f>$O70*[4]ölçme_sistemleri!L$13</f>
        <v>3</v>
      </c>
      <c r="AE70" s="1">
        <f t="shared" si="44"/>
        <v>0</v>
      </c>
      <c r="AF70" s="1">
        <f t="shared" si="45"/>
        <v>0</v>
      </c>
      <c r="AG70" s="1">
        <f t="shared" si="46"/>
        <v>0</v>
      </c>
      <c r="AH70" s="1">
        <f t="shared" si="47"/>
        <v>0</v>
      </c>
      <c r="AI70" s="1">
        <v>14</v>
      </c>
      <c r="AJ70" s="1">
        <f>VLOOKUP(X70,[4]ölçme_sistemleri!I:M,5,FALSE)</f>
        <v>0</v>
      </c>
      <c r="AK70" s="1">
        <f t="shared" si="48"/>
        <v>0</v>
      </c>
      <c r="AL70" s="1">
        <f>(Q70+S70)*AI70</f>
        <v>14</v>
      </c>
      <c r="AM70" s="1">
        <f>VLOOKUP(X70,[4]ölçme_sistemleri!I:N,6,FALSE)</f>
        <v>0</v>
      </c>
      <c r="AN70" s="1">
        <v>2</v>
      </c>
      <c r="AO70" s="1">
        <f t="shared" si="49"/>
        <v>0</v>
      </c>
      <c r="AP70" s="1">
        <v>14</v>
      </c>
      <c r="AQ70" s="1">
        <f t="shared" si="59"/>
        <v>14</v>
      </c>
      <c r="AR70" s="1">
        <f t="shared" si="50"/>
        <v>28</v>
      </c>
      <c r="AS70" s="1">
        <f t="shared" si="67"/>
        <v>25</v>
      </c>
      <c r="AT70" s="1">
        <f t="shared" si="51"/>
        <v>1</v>
      </c>
      <c r="AU70" s="1">
        <f t="shared" si="60"/>
        <v>0</v>
      </c>
      <c r="AV70" s="1">
        <f t="shared" si="61"/>
        <v>0</v>
      </c>
      <c r="AW70" s="1">
        <f t="shared" si="62"/>
        <v>0</v>
      </c>
      <c r="AX70" s="1">
        <f t="shared" si="63"/>
        <v>0</v>
      </c>
      <c r="AY70" s="1">
        <f t="shared" si="52"/>
        <v>-3</v>
      </c>
      <c r="AZ70" s="1">
        <f t="shared" si="64"/>
        <v>0</v>
      </c>
      <c r="BA70" s="1">
        <f t="shared" si="53"/>
        <v>-14</v>
      </c>
      <c r="BB70" s="1">
        <f t="shared" si="54"/>
        <v>0</v>
      </c>
      <c r="BC70" s="1">
        <f t="shared" si="55"/>
        <v>0</v>
      </c>
      <c r="BD70" s="1">
        <f t="shared" si="56"/>
        <v>0</v>
      </c>
      <c r="BE70" s="1" t="s">
        <v>65</v>
      </c>
      <c r="BF70" s="1">
        <f t="shared" si="65"/>
        <v>14</v>
      </c>
      <c r="BG70" s="1">
        <f t="shared" si="57"/>
        <v>14</v>
      </c>
      <c r="BH70" s="1">
        <f t="shared" si="58"/>
        <v>0</v>
      </c>
      <c r="BI70" s="1" t="e">
        <f>IF(BH70-#REF!=0,"DOĞRU","YANLIŞ")</f>
        <v>#REF!</v>
      </c>
      <c r="BJ70" s="1" t="e">
        <f>#REF!-BH70</f>
        <v>#REF!</v>
      </c>
      <c r="BK70" s="1">
        <v>0</v>
      </c>
      <c r="BM70" s="1">
        <v>0</v>
      </c>
      <c r="BO70" s="1">
        <v>0</v>
      </c>
      <c r="BT70" s="8">
        <f t="shared" si="66"/>
        <v>0</v>
      </c>
      <c r="BU70" s="9"/>
      <c r="BV70" s="10"/>
      <c r="BW70" s="11"/>
      <c r="BX70" s="11"/>
      <c r="BY70" s="11"/>
      <c r="BZ70" s="11"/>
      <c r="CA70" s="11"/>
      <c r="CB70" s="12"/>
      <c r="CC70" s="13"/>
      <c r="CD70" s="14"/>
      <c r="CL70" s="11"/>
      <c r="CM70" s="11"/>
      <c r="CN70" s="11"/>
      <c r="CO70" s="11"/>
      <c r="CP70" s="11"/>
      <c r="CQ70" s="46"/>
      <c r="CR70" s="46"/>
      <c r="CS70" s="48"/>
      <c r="CT70" s="48"/>
      <c r="CU70" s="48"/>
      <c r="CV70" s="48"/>
      <c r="CW70" s="49"/>
      <c r="CX70" s="49"/>
    </row>
    <row r="71" spans="1:102" hidden="1" x14ac:dyDescent="0.25">
      <c r="A71" s="1" t="s">
        <v>456</v>
      </c>
      <c r="B71" s="1" t="s">
        <v>457</v>
      </c>
      <c r="C71" s="1" t="s">
        <v>364</v>
      </c>
      <c r="D71" s="2" t="s">
        <v>63</v>
      </c>
      <c r="E71" s="2" t="s">
        <v>63</v>
      </c>
      <c r="F71" s="3" t="e">
        <f>IF(BE71="S",
IF(#REF!+BM71=2018,
IF(#REF!=1,"18-19/1",
IF(#REF!=2,"18-19/2",
IF(#REF!=3,"19-20/1",
IF(#REF!=4,"19-20/2",
IF(#REF!=5,"20-21/1",
IF(#REF!=6,"20-21/2",
IF(#REF!=7,"21-22/1",
IF(#REF!=8,"21-22/2","Hata1")))))))),
IF(#REF!+BM71=2019,
IF(#REF!=1,"19-20/1",
IF(#REF!=2,"19-20/2",
IF(#REF!=3,"20-21/1",
IF(#REF!=4,"20-21/2",
IF(#REF!=5,"21-22/1",
IF(#REF!=6,"21-22/2",
IF(#REF!=7,"22-23/1",
IF(#REF!=8,"22-23/2","Hata2")))))))),
IF(#REF!+BM71=2020,
IF(#REF!=1,"20-21/1",
IF(#REF!=2,"20-21/2",
IF(#REF!=3,"21-22/1",
IF(#REF!=4,"21-22/2",
IF(#REF!=5,"22-23/1",
IF(#REF!=6,"22-23/2",
IF(#REF!=7,"23-24/1",
IF(#REF!=8,"23-24/2","Hata3")))))))),
IF(#REF!+BM71=2021,
IF(#REF!=1,"21-22/1",
IF(#REF!=2,"21-22/2",
IF(#REF!=3,"22-23/1",
IF(#REF!=4,"22-23/2",
IF(#REF!=5,"23-24/1",
IF(#REF!=6,"23-24/2",
IF(#REF!=7,"24-25/1",
IF(#REF!=8,"24-25/2","Hata4")))))))),
IF(#REF!+BM71=2022,
IF(#REF!=1,"22-23/1",
IF(#REF!=2,"22-23/2",
IF(#REF!=3,"23-24/1",
IF(#REF!=4,"23-24/2",
IF(#REF!=5,"24-25/1",
IF(#REF!=6,"24-25/2",
IF(#REF!=7,"25-26/1",
IF(#REF!=8,"25-26/2","Hata5")))))))),
IF(#REF!+BM71=2023,
IF(#REF!=1,"23-24/1",
IF(#REF!=2,"23-24/2",
IF(#REF!=3,"24-25/1",
IF(#REF!=4,"24-25/2",
IF(#REF!=5,"25-26/1",
IF(#REF!=6,"25-26/2",
IF(#REF!=7,"26-27/1",
IF(#REF!=8,"26-27/2","Hata6")))))))),
)))))),
IF(BE71="T",
IF(#REF!+BM71=2018,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1" s="1" t="s">
        <v>185</v>
      </c>
      <c r="L71" s="2">
        <v>3656</v>
      </c>
      <c r="N71" s="2">
        <v>4</v>
      </c>
      <c r="O71" s="6">
        <f t="shared" si="42"/>
        <v>4</v>
      </c>
      <c r="P71" s="2">
        <f t="shared" si="43"/>
        <v>4</v>
      </c>
      <c r="Q71" s="2">
        <v>4</v>
      </c>
      <c r="R71" s="2">
        <v>0</v>
      </c>
      <c r="S71" s="2">
        <v>0</v>
      </c>
      <c r="X71" s="3">
        <v>2</v>
      </c>
      <c r="Y71" s="1">
        <f>VLOOKUP(X71,[4]ölçme_sistemleri!I:L,2,FALSE)</f>
        <v>0</v>
      </c>
      <c r="Z71" s="1">
        <f>VLOOKUP(X71,[4]ölçme_sistemleri!I:L,3,FALSE)</f>
        <v>2</v>
      </c>
      <c r="AA71" s="1">
        <f>VLOOKUP(X71,[4]ölçme_sistemleri!I:L,4,FALSE)</f>
        <v>1</v>
      </c>
      <c r="AB71" s="1">
        <f>$O71*[4]ölçme_sistemleri!J$13</f>
        <v>4</v>
      </c>
      <c r="AC71" s="1">
        <f>$O71*[4]ölçme_sistemleri!K$13</f>
        <v>8</v>
      </c>
      <c r="AD71" s="1">
        <f>$O71*[4]ölçme_sistemleri!L$13</f>
        <v>12</v>
      </c>
      <c r="AE71" s="1">
        <f t="shared" si="44"/>
        <v>0</v>
      </c>
      <c r="AF71" s="1">
        <f t="shared" si="45"/>
        <v>16</v>
      </c>
      <c r="AG71" s="1">
        <f t="shared" si="46"/>
        <v>12</v>
      </c>
      <c r="AH71" s="1">
        <f t="shared" si="47"/>
        <v>28</v>
      </c>
      <c r="AI71" s="1">
        <v>14</v>
      </c>
      <c r="AJ71" s="1">
        <f>VLOOKUP(X71,[4]ölçme_sistemleri!I:M,5,FALSE)</f>
        <v>2</v>
      </c>
      <c r="AK71" s="1">
        <f t="shared" si="48"/>
        <v>392</v>
      </c>
      <c r="AL71" s="1">
        <f>AI71*0</f>
        <v>0</v>
      </c>
      <c r="AM71" s="1">
        <f>VLOOKUP(X71,[4]ölçme_sistemleri!I:N,6,FALSE)</f>
        <v>3</v>
      </c>
      <c r="AN71" s="1">
        <v>2</v>
      </c>
      <c r="AO71" s="1">
        <f t="shared" si="49"/>
        <v>6</v>
      </c>
      <c r="AP71" s="1">
        <v>14</v>
      </c>
      <c r="AQ71" s="1">
        <f t="shared" si="59"/>
        <v>56</v>
      </c>
      <c r="AR71" s="1">
        <f t="shared" si="50"/>
        <v>90</v>
      </c>
      <c r="AS71" s="1">
        <f t="shared" si="67"/>
        <v>25</v>
      </c>
      <c r="AT71" s="1">
        <f t="shared" si="51"/>
        <v>4</v>
      </c>
      <c r="AU71" s="1">
        <f t="shared" si="60"/>
        <v>0</v>
      </c>
      <c r="AV71" s="1">
        <f t="shared" si="61"/>
        <v>0</v>
      </c>
      <c r="AW71" s="1">
        <f t="shared" si="62"/>
        <v>0</v>
      </c>
      <c r="AX71" s="1">
        <f t="shared" si="63"/>
        <v>0</v>
      </c>
      <c r="AY71" s="1">
        <f t="shared" si="52"/>
        <v>-28</v>
      </c>
      <c r="AZ71" s="1">
        <f t="shared" si="64"/>
        <v>0</v>
      </c>
      <c r="BA71" s="1">
        <f t="shared" si="53"/>
        <v>0</v>
      </c>
      <c r="BB71" s="1">
        <f t="shared" si="54"/>
        <v>0</v>
      </c>
      <c r="BC71" s="1">
        <f t="shared" si="55"/>
        <v>-6</v>
      </c>
      <c r="BD71" s="1">
        <f t="shared" si="56"/>
        <v>0</v>
      </c>
      <c r="BE71" s="1" t="s">
        <v>65</v>
      </c>
      <c r="BF71" s="1">
        <f t="shared" si="65"/>
        <v>56</v>
      </c>
      <c r="BG71" s="1">
        <f t="shared" si="57"/>
        <v>56</v>
      </c>
      <c r="BH71" s="1">
        <f t="shared" si="58"/>
        <v>2</v>
      </c>
      <c r="BI71" s="1" t="e">
        <f>IF(BH71-#REF!=0,"DOĞRU","YANLIŞ")</f>
        <v>#REF!</v>
      </c>
      <c r="BJ71" s="1" t="e">
        <f>#REF!-BH71</f>
        <v>#REF!</v>
      </c>
      <c r="BK71" s="1">
        <v>0</v>
      </c>
      <c r="BM71" s="1">
        <v>0</v>
      </c>
      <c r="BO71" s="1">
        <v>2</v>
      </c>
      <c r="BT71" s="8">
        <f t="shared" si="66"/>
        <v>0</v>
      </c>
      <c r="BU71" s="9"/>
      <c r="BV71" s="10"/>
      <c r="BW71" s="11"/>
      <c r="BX71" s="11"/>
      <c r="BY71" s="11"/>
      <c r="BZ71" s="11"/>
      <c r="CA71" s="11"/>
      <c r="CB71" s="12"/>
      <c r="CC71" s="13"/>
      <c r="CD71" s="14"/>
      <c r="CL71" s="11"/>
      <c r="CM71" s="50"/>
      <c r="CN71" s="50"/>
      <c r="CO71" s="50"/>
      <c r="CP71" s="50"/>
      <c r="CQ71" s="54"/>
      <c r="CR71" s="46"/>
      <c r="CS71" s="54"/>
      <c r="CT71" s="48"/>
      <c r="CU71" s="48"/>
      <c r="CV71" s="48"/>
      <c r="CW71" s="49"/>
      <c r="CX71" s="49"/>
    </row>
    <row r="72" spans="1:102" x14ac:dyDescent="0.25">
      <c r="A72" s="112" t="s">
        <v>136</v>
      </c>
      <c r="B72" s="112" t="s">
        <v>134</v>
      </c>
      <c r="C72" s="1" t="s">
        <v>134</v>
      </c>
      <c r="D72" s="2" t="s">
        <v>63</v>
      </c>
      <c r="E72" s="2" t="s">
        <v>63</v>
      </c>
      <c r="F72" s="3" t="e">
        <f>IF(BE72="S",
IF(#REF!+BM72=2018,
IF(#REF!=1,"18-19/1",
IF(#REF!=2,"18-19/2",
IF(#REF!=3,"19-20/1",
IF(#REF!=4,"19-20/2",
IF(#REF!=5,"20-21/1",
IF(#REF!=6,"20-21/2",
IF(#REF!=7,"21-22/1",
IF(#REF!=8,"21-22/2","Hata1")))))))),
IF(#REF!+BM72=2019,
IF(#REF!=1,"19-20/1",
IF(#REF!=2,"19-20/2",
IF(#REF!=3,"20-21/1",
IF(#REF!=4,"20-21/2",
IF(#REF!=5,"21-22/1",
IF(#REF!=6,"21-22/2",
IF(#REF!=7,"22-23/1",
IF(#REF!=8,"22-23/2","Hata2")))))))),
IF(#REF!+BM72=2020,
IF(#REF!=1,"20-21/1",
IF(#REF!=2,"20-21/2",
IF(#REF!=3,"21-22/1",
IF(#REF!=4,"21-22/2",
IF(#REF!=5,"22-23/1",
IF(#REF!=6,"22-23/2",
IF(#REF!=7,"23-24/1",
IF(#REF!=8,"23-24/2","Hata3")))))))),
IF(#REF!+BM72=2021,
IF(#REF!=1,"21-22/1",
IF(#REF!=2,"21-22/2",
IF(#REF!=3,"22-23/1",
IF(#REF!=4,"22-23/2",
IF(#REF!=5,"23-24/1",
IF(#REF!=6,"23-24/2",
IF(#REF!=7,"24-25/1",
IF(#REF!=8,"24-25/2","Hata4")))))))),
IF(#REF!+BM72=2022,
IF(#REF!=1,"22-23/1",
IF(#REF!=2,"22-23/2",
IF(#REF!=3,"23-24/1",
IF(#REF!=4,"23-24/2",
IF(#REF!=5,"24-25/1",
IF(#REF!=6,"24-25/2",
IF(#REF!=7,"25-26/1",
IF(#REF!=8,"25-26/2","Hata5")))))))),
IF(#REF!+BM72=2023,
IF(#REF!=1,"23-24/1",
IF(#REF!=2,"23-24/2",
IF(#REF!=3,"24-25/1",
IF(#REF!=4,"24-25/2",
IF(#REF!=5,"25-26/1",
IF(#REF!=6,"25-26/2",
IF(#REF!=7,"26-27/1",
IF(#REF!=8,"26-27/2","Hata6")))))))),
)))))),
IF(BE72="T",
IF(#REF!+BM72=2018,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2" s="112" t="s">
        <v>185</v>
      </c>
      <c r="L72" s="2">
        <v>3426</v>
      </c>
      <c r="N72" s="113">
        <v>5</v>
      </c>
      <c r="O72" s="89">
        <f t="shared" si="42"/>
        <v>4</v>
      </c>
      <c r="P72" s="2">
        <f t="shared" si="43"/>
        <v>4</v>
      </c>
      <c r="Q72" s="2">
        <v>2</v>
      </c>
      <c r="R72" s="2">
        <v>0</v>
      </c>
      <c r="S72" s="2">
        <v>2</v>
      </c>
      <c r="X72" s="90">
        <v>4</v>
      </c>
      <c r="Y72" s="1">
        <f>VLOOKUP(X72,[4]ölçme_sistemleri!I:L,2,FALSE)</f>
        <v>0</v>
      </c>
      <c r="Z72" s="1">
        <f>VLOOKUP(X72,[4]ölçme_sistemleri!I:L,3,FALSE)</f>
        <v>1</v>
      </c>
      <c r="AA72" s="1">
        <f>VLOOKUP(X72,[4]ölçme_sistemleri!I:L,4,FALSE)</f>
        <v>1</v>
      </c>
      <c r="AB72" s="1">
        <f>$O72*[4]ölçme_sistemleri!J$13</f>
        <v>4</v>
      </c>
      <c r="AC72" s="1">
        <f>$O72*[4]ölçme_sistemleri!K$13</f>
        <v>8</v>
      </c>
      <c r="AD72" s="1">
        <f>$O72*[4]ölçme_sistemleri!L$13</f>
        <v>12</v>
      </c>
      <c r="AE72" s="1">
        <f t="shared" si="44"/>
        <v>0</v>
      </c>
      <c r="AF72" s="1">
        <f t="shared" si="45"/>
        <v>8</v>
      </c>
      <c r="AG72" s="1">
        <f t="shared" si="46"/>
        <v>12</v>
      </c>
      <c r="AH72" s="1">
        <f t="shared" si="47"/>
        <v>20</v>
      </c>
      <c r="AI72" s="1">
        <v>14</v>
      </c>
      <c r="AJ72" s="1">
        <f>VLOOKUP(X72,[4]ölçme_sistemleri!I:M,5,FALSE)</f>
        <v>1</v>
      </c>
      <c r="AK72" s="1">
        <f t="shared" si="48"/>
        <v>280</v>
      </c>
      <c r="AL72" s="1">
        <f>(Q72+S72)*AI72</f>
        <v>56</v>
      </c>
      <c r="AM72" s="1">
        <f>VLOOKUP(X72,[4]ölçme_sistemleri!I:N,6,FALSE)</f>
        <v>2</v>
      </c>
      <c r="AN72" s="1">
        <v>2</v>
      </c>
      <c r="AO72" s="1">
        <f t="shared" si="49"/>
        <v>4</v>
      </c>
      <c r="AP72" s="1">
        <v>14</v>
      </c>
      <c r="AQ72" s="1">
        <f t="shared" si="59"/>
        <v>56</v>
      </c>
      <c r="AR72" s="1">
        <f t="shared" si="50"/>
        <v>136</v>
      </c>
      <c r="AS72" s="1">
        <f t="shared" si="67"/>
        <v>25</v>
      </c>
      <c r="AT72" s="1">
        <f t="shared" si="51"/>
        <v>5</v>
      </c>
      <c r="AU72" s="1">
        <f t="shared" si="60"/>
        <v>0</v>
      </c>
      <c r="AV72" s="1">
        <f t="shared" si="61"/>
        <v>0</v>
      </c>
      <c r="AW72" s="1">
        <f t="shared" si="62"/>
        <v>0</v>
      </c>
      <c r="AX72" s="1">
        <f t="shared" si="63"/>
        <v>0</v>
      </c>
      <c r="AY72" s="1">
        <f t="shared" si="52"/>
        <v>-20</v>
      </c>
      <c r="AZ72" s="1">
        <f t="shared" si="64"/>
        <v>0</v>
      </c>
      <c r="BA72" s="1">
        <f t="shared" si="53"/>
        <v>-56</v>
      </c>
      <c r="BB72" s="1">
        <f t="shared" si="54"/>
        <v>0</v>
      </c>
      <c r="BC72" s="1">
        <f t="shared" si="55"/>
        <v>-4</v>
      </c>
      <c r="BD72" s="1">
        <f t="shared" si="56"/>
        <v>0</v>
      </c>
      <c r="BE72" s="1" t="s">
        <v>65</v>
      </c>
      <c r="BF72" s="1">
        <f t="shared" si="65"/>
        <v>56</v>
      </c>
      <c r="BG72" s="1">
        <f t="shared" si="57"/>
        <v>56</v>
      </c>
      <c r="BH72" s="1">
        <f t="shared" si="58"/>
        <v>2</v>
      </c>
      <c r="BI72" s="1" t="e">
        <f>IF(BH72-#REF!=0,"DOĞRU","YANLIŞ")</f>
        <v>#REF!</v>
      </c>
      <c r="BJ72" s="1" t="e">
        <f>#REF!-BH72</f>
        <v>#REF!</v>
      </c>
      <c r="BK72" s="1">
        <v>1</v>
      </c>
      <c r="BM72" s="1">
        <v>0</v>
      </c>
      <c r="BO72" s="1">
        <v>4</v>
      </c>
      <c r="BT72" s="8">
        <f t="shared" si="66"/>
        <v>0</v>
      </c>
      <c r="BU72" s="9"/>
      <c r="BV72" s="10"/>
      <c r="BW72" s="11"/>
      <c r="BX72" s="11"/>
      <c r="BY72" s="11"/>
      <c r="BZ72" s="11"/>
      <c r="CA72" s="11"/>
      <c r="CB72" s="12"/>
      <c r="CC72" s="13"/>
      <c r="CD72" s="14"/>
      <c r="CL72" s="114"/>
      <c r="CM72" s="114"/>
      <c r="CN72" s="115"/>
      <c r="CO72" s="115"/>
      <c r="CP72" s="114" t="s">
        <v>442</v>
      </c>
      <c r="CQ72" s="111">
        <v>44324</v>
      </c>
      <c r="CR72" s="114" t="s">
        <v>529</v>
      </c>
      <c r="CS72" s="85"/>
      <c r="CT72" s="91"/>
      <c r="CU72" s="48"/>
      <c r="CV72" s="48"/>
      <c r="CW72" s="49"/>
      <c r="CX72" s="49"/>
    </row>
    <row r="73" spans="1:102" hidden="1" x14ac:dyDescent="0.25">
      <c r="A73" s="1" t="s">
        <v>458</v>
      </c>
      <c r="B73" s="1" t="s">
        <v>459</v>
      </c>
      <c r="C73" s="1" t="s">
        <v>363</v>
      </c>
      <c r="D73" s="2" t="s">
        <v>63</v>
      </c>
      <c r="E73" s="2" t="s">
        <v>63</v>
      </c>
      <c r="F73" s="3" t="e">
        <f>IF(BE73="S",
IF(#REF!+BM73=2018,
IF(#REF!=1,"18-19/1",
IF(#REF!=2,"18-19/2",
IF(#REF!=3,"19-20/1",
IF(#REF!=4,"19-20/2",
IF(#REF!=5,"20-21/1",
IF(#REF!=6,"20-21/2",
IF(#REF!=7,"21-22/1",
IF(#REF!=8,"21-22/2","Hata1")))))))),
IF(#REF!+BM73=2019,
IF(#REF!=1,"19-20/1",
IF(#REF!=2,"19-20/2",
IF(#REF!=3,"20-21/1",
IF(#REF!=4,"20-21/2",
IF(#REF!=5,"21-22/1",
IF(#REF!=6,"21-22/2",
IF(#REF!=7,"22-23/1",
IF(#REF!=8,"22-23/2","Hata2")))))))),
IF(#REF!+BM73=2020,
IF(#REF!=1,"20-21/1",
IF(#REF!=2,"20-21/2",
IF(#REF!=3,"21-22/1",
IF(#REF!=4,"21-22/2",
IF(#REF!=5,"22-23/1",
IF(#REF!=6,"22-23/2",
IF(#REF!=7,"23-24/1",
IF(#REF!=8,"23-24/2","Hata3")))))))),
IF(#REF!+BM73=2021,
IF(#REF!=1,"21-22/1",
IF(#REF!=2,"21-22/2",
IF(#REF!=3,"22-23/1",
IF(#REF!=4,"22-23/2",
IF(#REF!=5,"23-24/1",
IF(#REF!=6,"23-24/2",
IF(#REF!=7,"24-25/1",
IF(#REF!=8,"24-25/2","Hata4")))))))),
IF(#REF!+BM73=2022,
IF(#REF!=1,"22-23/1",
IF(#REF!=2,"22-23/2",
IF(#REF!=3,"23-24/1",
IF(#REF!=4,"23-24/2",
IF(#REF!=5,"24-25/1",
IF(#REF!=6,"24-25/2",
IF(#REF!=7,"25-26/1",
IF(#REF!=8,"25-26/2","Hata5")))))))),
IF(#REF!+BM73=2023,
IF(#REF!=1,"23-24/1",
IF(#REF!=2,"23-24/2",
IF(#REF!=3,"24-25/1",
IF(#REF!=4,"24-25/2",
IF(#REF!=5,"25-26/1",
IF(#REF!=6,"25-26/2",
IF(#REF!=7,"26-27/1",
IF(#REF!=8,"26-27/2","Hata6")))))))),
)))))),
IF(BE73="T",
IF(#REF!+BM73=2018,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3" s="1" t="s">
        <v>185</v>
      </c>
      <c r="L73" s="2">
        <v>3659</v>
      </c>
      <c r="N73" s="2">
        <v>5</v>
      </c>
      <c r="O73" s="6">
        <f t="shared" si="42"/>
        <v>5</v>
      </c>
      <c r="P73" s="2">
        <f t="shared" si="43"/>
        <v>8</v>
      </c>
      <c r="Q73" s="2">
        <v>2</v>
      </c>
      <c r="R73" s="2">
        <v>6</v>
      </c>
      <c r="S73" s="2">
        <v>0</v>
      </c>
      <c r="X73" s="3">
        <v>5</v>
      </c>
      <c r="Y73" s="1">
        <f>VLOOKUP(X73,[4]ölçme_sistemleri!I:L,2,FALSE)</f>
        <v>0</v>
      </c>
      <c r="Z73" s="1">
        <f>VLOOKUP(X73,[4]ölçme_sistemleri!I:L,3,FALSE)</f>
        <v>0</v>
      </c>
      <c r="AA73" s="1">
        <f>VLOOKUP(X73,[4]ölçme_sistemleri!I:L,4,FALSE)</f>
        <v>1</v>
      </c>
      <c r="AB73" s="1">
        <f>$O73*[4]ölçme_sistemleri!J$13</f>
        <v>5</v>
      </c>
      <c r="AC73" s="1">
        <f>$O73*[4]ölçme_sistemleri!K$13</f>
        <v>10</v>
      </c>
      <c r="AD73" s="1">
        <f>$O73*[4]ölçme_sistemleri!L$13</f>
        <v>15</v>
      </c>
      <c r="AE73" s="1">
        <f t="shared" si="44"/>
        <v>0</v>
      </c>
      <c r="AF73" s="1">
        <f t="shared" si="45"/>
        <v>0</v>
      </c>
      <c r="AG73" s="1">
        <f t="shared" si="46"/>
        <v>15</v>
      </c>
      <c r="AH73" s="1">
        <f t="shared" si="47"/>
        <v>15</v>
      </c>
      <c r="AI73" s="1">
        <v>14</v>
      </c>
      <c r="AJ73" s="1">
        <f>VLOOKUP(X73,[4]ölçme_sistemleri!I:M,5,FALSE)</f>
        <v>0</v>
      </c>
      <c r="AK73" s="1">
        <f t="shared" si="48"/>
        <v>210</v>
      </c>
      <c r="AL73" s="1">
        <f>AI73*0</f>
        <v>0</v>
      </c>
      <c r="AM73" s="1">
        <f>VLOOKUP(X73,[4]ölçme_sistemleri!I:N,6,FALSE)</f>
        <v>1</v>
      </c>
      <c r="AN73" s="1">
        <v>2</v>
      </c>
      <c r="AO73" s="1">
        <f t="shared" si="49"/>
        <v>2</v>
      </c>
      <c r="AP73" s="1">
        <v>14</v>
      </c>
      <c r="AQ73" s="1">
        <f t="shared" si="59"/>
        <v>112</v>
      </c>
      <c r="AR73" s="1">
        <f t="shared" si="50"/>
        <v>129</v>
      </c>
      <c r="AS73" s="1">
        <f t="shared" si="67"/>
        <v>25</v>
      </c>
      <c r="AT73" s="1">
        <f t="shared" si="51"/>
        <v>5</v>
      </c>
      <c r="AU73" s="1">
        <f t="shared" si="60"/>
        <v>0</v>
      </c>
      <c r="AV73" s="1">
        <f t="shared" si="61"/>
        <v>0</v>
      </c>
      <c r="AW73" s="1">
        <f t="shared" si="62"/>
        <v>0</v>
      </c>
      <c r="AX73" s="1">
        <f t="shared" si="63"/>
        <v>0</v>
      </c>
      <c r="AY73" s="1">
        <f t="shared" si="52"/>
        <v>-15</v>
      </c>
      <c r="AZ73" s="1">
        <f t="shared" si="64"/>
        <v>0</v>
      </c>
      <c r="BA73" s="1">
        <f t="shared" si="53"/>
        <v>0</v>
      </c>
      <c r="BB73" s="1">
        <f t="shared" si="54"/>
        <v>0</v>
      </c>
      <c r="BC73" s="1">
        <f t="shared" si="55"/>
        <v>-2</v>
      </c>
      <c r="BD73" s="1">
        <f t="shared" si="56"/>
        <v>0</v>
      </c>
      <c r="BE73" s="1" t="s">
        <v>65</v>
      </c>
      <c r="BF73" s="1">
        <f t="shared" si="65"/>
        <v>70</v>
      </c>
      <c r="BG73" s="1">
        <f t="shared" si="57"/>
        <v>70</v>
      </c>
      <c r="BH73" s="1">
        <f t="shared" si="58"/>
        <v>2</v>
      </c>
      <c r="BI73" s="1" t="e">
        <f>IF(BH73-#REF!=0,"DOĞRU","YANLIŞ")</f>
        <v>#REF!</v>
      </c>
      <c r="BJ73" s="1" t="e">
        <f>#REF!-BH73</f>
        <v>#REF!</v>
      </c>
      <c r="BK73" s="1">
        <v>0</v>
      </c>
      <c r="BM73" s="1">
        <v>0</v>
      </c>
      <c r="BO73" s="1">
        <v>5</v>
      </c>
      <c r="BT73" s="8">
        <f t="shared" si="66"/>
        <v>84</v>
      </c>
      <c r="BU73" s="9"/>
      <c r="BV73" s="10"/>
      <c r="BW73" s="11"/>
      <c r="BX73" s="11"/>
      <c r="BY73" s="11"/>
      <c r="BZ73" s="11"/>
      <c r="CA73" s="11"/>
      <c r="CB73" s="12"/>
      <c r="CC73" s="13"/>
      <c r="CD73" s="14"/>
      <c r="CL73" s="11"/>
      <c r="CM73" s="11"/>
      <c r="CN73" s="11"/>
      <c r="CO73" s="11"/>
      <c r="CP73" s="11"/>
      <c r="CQ73" s="54"/>
      <c r="CR73" s="46"/>
      <c r="CS73" s="54"/>
      <c r="CT73" s="48"/>
      <c r="CU73" s="48"/>
      <c r="CV73" s="48"/>
      <c r="CW73" s="49"/>
      <c r="CX73" s="49"/>
    </row>
    <row r="74" spans="1:102" hidden="1" x14ac:dyDescent="0.25">
      <c r="A74" s="1" t="s">
        <v>125</v>
      </c>
      <c r="B74" s="1" t="s">
        <v>126</v>
      </c>
      <c r="C74" s="1" t="s">
        <v>126</v>
      </c>
      <c r="D74" s="2" t="s">
        <v>63</v>
      </c>
      <c r="E74" s="2" t="s">
        <v>63</v>
      </c>
      <c r="F74" s="3" t="e">
        <f>IF(BE74="S",
IF(#REF!+BM74=2018,
IF(#REF!=1,"18-19/1",
IF(#REF!=2,"18-19/2",
IF(#REF!=3,"19-20/1",
IF(#REF!=4,"19-20/2",
IF(#REF!=5,"20-21/1",
IF(#REF!=6,"20-21/2",
IF(#REF!=7,"21-22/1",
IF(#REF!=8,"21-22/2","Hata1")))))))),
IF(#REF!+BM74=2019,
IF(#REF!=1,"19-20/1",
IF(#REF!=2,"19-20/2",
IF(#REF!=3,"20-21/1",
IF(#REF!=4,"20-21/2",
IF(#REF!=5,"21-22/1",
IF(#REF!=6,"21-22/2",
IF(#REF!=7,"22-23/1",
IF(#REF!=8,"22-23/2","Hata2")))))))),
IF(#REF!+BM74=2020,
IF(#REF!=1,"20-21/1",
IF(#REF!=2,"20-21/2",
IF(#REF!=3,"21-22/1",
IF(#REF!=4,"21-22/2",
IF(#REF!=5,"22-23/1",
IF(#REF!=6,"22-23/2",
IF(#REF!=7,"23-24/1",
IF(#REF!=8,"23-24/2","Hata3")))))))),
IF(#REF!+BM74=2021,
IF(#REF!=1,"21-22/1",
IF(#REF!=2,"21-22/2",
IF(#REF!=3,"22-23/1",
IF(#REF!=4,"22-23/2",
IF(#REF!=5,"23-24/1",
IF(#REF!=6,"23-24/2",
IF(#REF!=7,"24-25/1",
IF(#REF!=8,"24-25/2","Hata4")))))))),
IF(#REF!+BM74=2022,
IF(#REF!=1,"22-23/1",
IF(#REF!=2,"22-23/2",
IF(#REF!=3,"23-24/1",
IF(#REF!=4,"23-24/2",
IF(#REF!=5,"24-25/1",
IF(#REF!=6,"24-25/2",
IF(#REF!=7,"25-26/1",
IF(#REF!=8,"25-26/2","Hata5")))))))),
IF(#REF!+BM74=2023,
IF(#REF!=1,"23-24/1",
IF(#REF!=2,"23-24/2",
IF(#REF!=3,"24-25/1",
IF(#REF!=4,"24-25/2",
IF(#REF!=5,"25-26/1",
IF(#REF!=6,"25-26/2",
IF(#REF!=7,"26-27/1",
IF(#REF!=8,"26-27/2","Hata6")))))))),
)))))),
IF(BE74="T",
IF(#REF!+BM74=2018,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4" s="1" t="s">
        <v>185</v>
      </c>
      <c r="L74" s="2">
        <v>1681</v>
      </c>
      <c r="N74" s="2">
        <v>4</v>
      </c>
      <c r="O74" s="6">
        <f t="shared" si="42"/>
        <v>3</v>
      </c>
      <c r="P74" s="2">
        <f t="shared" si="43"/>
        <v>3</v>
      </c>
      <c r="Q74" s="2">
        <v>3</v>
      </c>
      <c r="R74" s="2">
        <v>0</v>
      </c>
      <c r="S74" s="2">
        <v>0</v>
      </c>
      <c r="X74" s="3">
        <v>2</v>
      </c>
      <c r="Y74" s="1">
        <f>VLOOKUP(X74,[4]ölçme_sistemleri!I:L,2,FALSE)</f>
        <v>0</v>
      </c>
      <c r="Z74" s="1">
        <f>VLOOKUP(X74,[4]ölçme_sistemleri!I:L,3,FALSE)</f>
        <v>2</v>
      </c>
      <c r="AA74" s="1">
        <f>VLOOKUP(X74,[4]ölçme_sistemleri!I:L,4,FALSE)</f>
        <v>1</v>
      </c>
      <c r="AB74" s="1">
        <f>$O74*[4]ölçme_sistemleri!J$13</f>
        <v>3</v>
      </c>
      <c r="AC74" s="1">
        <f>$O74*[4]ölçme_sistemleri!K$13</f>
        <v>6</v>
      </c>
      <c r="AD74" s="1">
        <f>$O74*[4]ölçme_sistemleri!L$13</f>
        <v>9</v>
      </c>
      <c r="AE74" s="1">
        <f t="shared" si="44"/>
        <v>0</v>
      </c>
      <c r="AF74" s="1">
        <f t="shared" si="45"/>
        <v>12</v>
      </c>
      <c r="AG74" s="1">
        <f t="shared" si="46"/>
        <v>9</v>
      </c>
      <c r="AH74" s="1">
        <f t="shared" si="47"/>
        <v>21</v>
      </c>
      <c r="AI74" s="1">
        <v>14</v>
      </c>
      <c r="AJ74" s="1">
        <f>VLOOKUP(X74,[4]ölçme_sistemleri!I:M,5,FALSE)</f>
        <v>2</v>
      </c>
      <c r="AK74" s="1">
        <f t="shared" si="48"/>
        <v>294</v>
      </c>
      <c r="AL74" s="1">
        <f>(Q74+S74)*AI74</f>
        <v>42</v>
      </c>
      <c r="AM74" s="1">
        <f>VLOOKUP(X74,[4]ölçme_sistemleri!I:N,6,FALSE)</f>
        <v>3</v>
      </c>
      <c r="AN74" s="1">
        <v>2</v>
      </c>
      <c r="AO74" s="1">
        <f t="shared" si="49"/>
        <v>6</v>
      </c>
      <c r="AP74" s="1">
        <v>14</v>
      </c>
      <c r="AQ74" s="1">
        <f t="shared" si="59"/>
        <v>42</v>
      </c>
      <c r="AR74" s="1">
        <f t="shared" si="50"/>
        <v>111</v>
      </c>
      <c r="AS74" s="1">
        <f t="shared" si="67"/>
        <v>25</v>
      </c>
      <c r="AT74" s="1">
        <f t="shared" si="51"/>
        <v>4</v>
      </c>
      <c r="AU74" s="1">
        <f t="shared" si="60"/>
        <v>0</v>
      </c>
      <c r="AV74" s="1">
        <f t="shared" si="61"/>
        <v>0</v>
      </c>
      <c r="AW74" s="1">
        <f t="shared" si="62"/>
        <v>0</v>
      </c>
      <c r="AX74" s="1">
        <f t="shared" si="63"/>
        <v>0</v>
      </c>
      <c r="AY74" s="1">
        <f t="shared" si="52"/>
        <v>-21</v>
      </c>
      <c r="AZ74" s="1">
        <f t="shared" si="64"/>
        <v>0</v>
      </c>
      <c r="BA74" s="1">
        <f t="shared" si="53"/>
        <v>-42</v>
      </c>
      <c r="BB74" s="1">
        <f t="shared" si="54"/>
        <v>0</v>
      </c>
      <c r="BC74" s="1">
        <f t="shared" si="55"/>
        <v>-6</v>
      </c>
      <c r="BD74" s="1">
        <f t="shared" si="56"/>
        <v>0</v>
      </c>
      <c r="BE74" s="1" t="s">
        <v>65</v>
      </c>
      <c r="BF74" s="1">
        <f t="shared" si="65"/>
        <v>42</v>
      </c>
      <c r="BG74" s="1">
        <f t="shared" si="57"/>
        <v>42</v>
      </c>
      <c r="BH74" s="1">
        <f t="shared" si="58"/>
        <v>1</v>
      </c>
      <c r="BI74" s="1" t="e">
        <f>IF(BH74-#REF!=0,"DOĞRU","YANLIŞ")</f>
        <v>#REF!</v>
      </c>
      <c r="BJ74" s="1" t="e">
        <f>#REF!-BH74</f>
        <v>#REF!</v>
      </c>
      <c r="BK74" s="1">
        <v>0</v>
      </c>
      <c r="BM74" s="1">
        <v>0</v>
      </c>
      <c r="BO74" s="1">
        <v>2</v>
      </c>
      <c r="BT74" s="8">
        <f t="shared" si="66"/>
        <v>0</v>
      </c>
      <c r="BU74" s="9"/>
      <c r="BV74" s="10"/>
      <c r="BW74" s="11"/>
      <c r="BX74" s="11"/>
      <c r="BY74" s="11"/>
      <c r="BZ74" s="11"/>
      <c r="CA74" s="11"/>
      <c r="CB74" s="12"/>
      <c r="CC74" s="13"/>
      <c r="CD74" s="14"/>
      <c r="CL74" s="11"/>
      <c r="CM74" s="11"/>
      <c r="CN74" s="11"/>
      <c r="CO74" s="11"/>
      <c r="CP74" s="11"/>
      <c r="CQ74" s="46"/>
      <c r="CR74" s="46"/>
      <c r="CS74" s="48"/>
      <c r="CT74" s="48"/>
      <c r="CU74" s="48"/>
      <c r="CV74" s="48"/>
      <c r="CW74" s="49"/>
      <c r="CX74" s="49"/>
    </row>
    <row r="75" spans="1:102" hidden="1" x14ac:dyDescent="0.25">
      <c r="A75" s="1" t="s">
        <v>360</v>
      </c>
      <c r="B75" s="1" t="s">
        <v>100</v>
      </c>
      <c r="C75" s="1" t="s">
        <v>100</v>
      </c>
      <c r="D75" s="2" t="s">
        <v>63</v>
      </c>
      <c r="E75" s="2" t="s">
        <v>63</v>
      </c>
      <c r="F75" s="3" t="e">
        <f>IF(BE75="S",
IF(#REF!+BM75=2018,
IF(#REF!=1,"18-19/1",
IF(#REF!=2,"18-19/2",
IF(#REF!=3,"19-20/1",
IF(#REF!=4,"19-20/2",
IF(#REF!=5,"20-21/1",
IF(#REF!=6,"20-21/2",
IF(#REF!=7,"21-22/1",
IF(#REF!=8,"21-22/2","Hata1")))))))),
IF(#REF!+BM75=2019,
IF(#REF!=1,"19-20/1",
IF(#REF!=2,"19-20/2",
IF(#REF!=3,"20-21/1",
IF(#REF!=4,"20-21/2",
IF(#REF!=5,"21-22/1",
IF(#REF!=6,"21-22/2",
IF(#REF!=7,"22-23/1",
IF(#REF!=8,"22-23/2","Hata2")))))))),
IF(#REF!+BM75=2020,
IF(#REF!=1,"20-21/1",
IF(#REF!=2,"20-21/2",
IF(#REF!=3,"21-22/1",
IF(#REF!=4,"21-22/2",
IF(#REF!=5,"22-23/1",
IF(#REF!=6,"22-23/2",
IF(#REF!=7,"23-24/1",
IF(#REF!=8,"23-24/2","Hata3")))))))),
IF(#REF!+BM75=2021,
IF(#REF!=1,"21-22/1",
IF(#REF!=2,"21-22/2",
IF(#REF!=3,"22-23/1",
IF(#REF!=4,"22-23/2",
IF(#REF!=5,"23-24/1",
IF(#REF!=6,"23-24/2",
IF(#REF!=7,"24-25/1",
IF(#REF!=8,"24-25/2","Hata4")))))))),
IF(#REF!+BM75=2022,
IF(#REF!=1,"22-23/1",
IF(#REF!=2,"22-23/2",
IF(#REF!=3,"23-24/1",
IF(#REF!=4,"23-24/2",
IF(#REF!=5,"24-25/1",
IF(#REF!=6,"24-25/2",
IF(#REF!=7,"25-26/1",
IF(#REF!=8,"25-26/2","Hata5")))))))),
IF(#REF!+BM75=2023,
IF(#REF!=1,"23-24/1",
IF(#REF!=2,"23-24/2",
IF(#REF!=3,"24-25/1",
IF(#REF!=4,"24-25/2",
IF(#REF!=5,"25-26/1",
IF(#REF!=6,"25-26/2",
IF(#REF!=7,"26-27/1",
IF(#REF!=8,"26-27/2","Hata6")))))))),
)))))),
IF(BE75="T",
IF(#REF!+BM75=2018,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5" s="1" t="s">
        <v>185</v>
      </c>
      <c r="L75" s="2">
        <v>3439</v>
      </c>
      <c r="N75" s="2">
        <v>2</v>
      </c>
      <c r="O75" s="6">
        <f t="shared" si="42"/>
        <v>2</v>
      </c>
      <c r="P75" s="2">
        <f t="shared" si="43"/>
        <v>2</v>
      </c>
      <c r="Q75" s="2">
        <v>2</v>
      </c>
      <c r="R75" s="2">
        <v>0</v>
      </c>
      <c r="S75" s="2">
        <v>0</v>
      </c>
      <c r="X75" s="3">
        <v>4</v>
      </c>
      <c r="Y75" s="1">
        <f>VLOOKUP(X75,[4]ölçme_sistemleri!I:L,2,FALSE)</f>
        <v>0</v>
      </c>
      <c r="Z75" s="1">
        <f>VLOOKUP(X75,[4]ölçme_sistemleri!I:L,3,FALSE)</f>
        <v>1</v>
      </c>
      <c r="AA75" s="1">
        <f>VLOOKUP(X75,[4]ölçme_sistemleri!I:L,4,FALSE)</f>
        <v>1</v>
      </c>
      <c r="AB75" s="1">
        <f>$O75*[4]ölçme_sistemleri!J$13</f>
        <v>2</v>
      </c>
      <c r="AC75" s="1">
        <f>$O75*[4]ölçme_sistemleri!K$13</f>
        <v>4</v>
      </c>
      <c r="AD75" s="1">
        <f>$O75*[4]ölçme_sistemleri!L$13</f>
        <v>6</v>
      </c>
      <c r="AE75" s="1">
        <f t="shared" si="44"/>
        <v>0</v>
      </c>
      <c r="AF75" s="1">
        <f t="shared" si="45"/>
        <v>4</v>
      </c>
      <c r="AG75" s="1">
        <f t="shared" si="46"/>
        <v>6</v>
      </c>
      <c r="AH75" s="1">
        <f t="shared" si="47"/>
        <v>10</v>
      </c>
      <c r="AI75" s="1">
        <v>14</v>
      </c>
      <c r="AJ75" s="1">
        <f>VLOOKUP(X75,[4]ölçme_sistemleri!I:M,5,FALSE)</f>
        <v>1</v>
      </c>
      <c r="AK75" s="1">
        <f t="shared" si="48"/>
        <v>140</v>
      </c>
      <c r="AL75" s="1">
        <f>AI75*0</f>
        <v>0</v>
      </c>
      <c r="AM75" s="1">
        <f>VLOOKUP(X75,[4]ölçme_sistemleri!I:N,6,FALSE)</f>
        <v>2</v>
      </c>
      <c r="AN75" s="1">
        <v>2</v>
      </c>
      <c r="AO75" s="1">
        <f t="shared" si="49"/>
        <v>4</v>
      </c>
      <c r="AP75" s="1">
        <v>14</v>
      </c>
      <c r="AQ75" s="1">
        <f t="shared" si="59"/>
        <v>28</v>
      </c>
      <c r="AR75" s="1">
        <f t="shared" si="50"/>
        <v>42</v>
      </c>
      <c r="AS75" s="1">
        <f t="shared" si="67"/>
        <v>25</v>
      </c>
      <c r="AT75" s="1">
        <f t="shared" si="51"/>
        <v>2</v>
      </c>
      <c r="AU75" s="1">
        <f t="shared" si="60"/>
        <v>0</v>
      </c>
      <c r="AV75" s="1">
        <f t="shared" si="61"/>
        <v>0</v>
      </c>
      <c r="AW75" s="1">
        <f t="shared" si="62"/>
        <v>0</v>
      </c>
      <c r="AX75" s="1">
        <f t="shared" si="63"/>
        <v>0</v>
      </c>
      <c r="AY75" s="1">
        <f t="shared" si="52"/>
        <v>-10</v>
      </c>
      <c r="AZ75" s="1">
        <f t="shared" si="64"/>
        <v>0</v>
      </c>
      <c r="BA75" s="1">
        <f t="shared" si="53"/>
        <v>0</v>
      </c>
      <c r="BB75" s="1">
        <f t="shared" si="54"/>
        <v>0</v>
      </c>
      <c r="BC75" s="1">
        <f t="shared" si="55"/>
        <v>-4</v>
      </c>
      <c r="BD75" s="1">
        <f t="shared" si="56"/>
        <v>0</v>
      </c>
      <c r="BE75" s="1" t="s">
        <v>65</v>
      </c>
      <c r="BF75" s="1">
        <f t="shared" si="65"/>
        <v>28</v>
      </c>
      <c r="BG75" s="1">
        <f t="shared" si="57"/>
        <v>28</v>
      </c>
      <c r="BH75" s="1">
        <f t="shared" si="58"/>
        <v>1</v>
      </c>
      <c r="BI75" s="1" t="e">
        <f>IF(BH75-#REF!=0,"DOĞRU","YANLIŞ")</f>
        <v>#REF!</v>
      </c>
      <c r="BJ75" s="1" t="e">
        <f>#REF!-BH75</f>
        <v>#REF!</v>
      </c>
      <c r="BK75" s="1">
        <v>0</v>
      </c>
      <c r="BM75" s="1">
        <v>0</v>
      </c>
      <c r="BO75" s="1">
        <v>4</v>
      </c>
      <c r="BT75" s="8">
        <f t="shared" si="66"/>
        <v>0</v>
      </c>
      <c r="BU75" s="9"/>
      <c r="BV75" s="10"/>
      <c r="BW75" s="11"/>
      <c r="BX75" s="11"/>
      <c r="BY75" s="11"/>
      <c r="BZ75" s="11"/>
      <c r="CA75" s="11"/>
      <c r="CB75" s="12"/>
      <c r="CC75" s="13"/>
      <c r="CD75" s="14"/>
      <c r="CL75" s="11"/>
      <c r="CM75" s="11"/>
      <c r="CN75" s="11"/>
      <c r="CO75" s="11"/>
      <c r="CP75" s="50"/>
      <c r="CQ75" s="58"/>
      <c r="CR75" s="57"/>
      <c r="CS75" s="53"/>
      <c r="CT75" s="53"/>
      <c r="CU75" s="53"/>
      <c r="CV75" s="53"/>
      <c r="CW75" s="49"/>
      <c r="CX75" s="49"/>
    </row>
    <row r="76" spans="1:102" hidden="1" x14ac:dyDescent="0.25">
      <c r="A76" s="1" t="s">
        <v>129</v>
      </c>
      <c r="B76" s="1" t="s">
        <v>130</v>
      </c>
      <c r="C76" s="1" t="s">
        <v>130</v>
      </c>
      <c r="D76" s="2" t="s">
        <v>63</v>
      </c>
      <c r="E76" s="2" t="s">
        <v>63</v>
      </c>
      <c r="F76" s="3" t="e">
        <f>IF(BE76="S",
IF(#REF!+BM76=2018,
IF(#REF!=1,"18-19/1",
IF(#REF!=2,"18-19/2",
IF(#REF!=3,"19-20/1",
IF(#REF!=4,"19-20/2",
IF(#REF!=5,"20-21/1",
IF(#REF!=6,"20-21/2",
IF(#REF!=7,"21-22/1",
IF(#REF!=8,"21-22/2","Hata1")))))))),
IF(#REF!+BM76=2019,
IF(#REF!=1,"19-20/1",
IF(#REF!=2,"19-20/2",
IF(#REF!=3,"20-21/1",
IF(#REF!=4,"20-21/2",
IF(#REF!=5,"21-22/1",
IF(#REF!=6,"21-22/2",
IF(#REF!=7,"22-23/1",
IF(#REF!=8,"22-23/2","Hata2")))))))),
IF(#REF!+BM76=2020,
IF(#REF!=1,"20-21/1",
IF(#REF!=2,"20-21/2",
IF(#REF!=3,"21-22/1",
IF(#REF!=4,"21-22/2",
IF(#REF!=5,"22-23/1",
IF(#REF!=6,"22-23/2",
IF(#REF!=7,"23-24/1",
IF(#REF!=8,"23-24/2","Hata3")))))))),
IF(#REF!+BM76=2021,
IF(#REF!=1,"21-22/1",
IF(#REF!=2,"21-22/2",
IF(#REF!=3,"22-23/1",
IF(#REF!=4,"22-23/2",
IF(#REF!=5,"23-24/1",
IF(#REF!=6,"23-24/2",
IF(#REF!=7,"24-25/1",
IF(#REF!=8,"24-25/2","Hata4")))))))),
IF(#REF!+BM76=2022,
IF(#REF!=1,"22-23/1",
IF(#REF!=2,"22-23/2",
IF(#REF!=3,"23-24/1",
IF(#REF!=4,"23-24/2",
IF(#REF!=5,"24-25/1",
IF(#REF!=6,"24-25/2",
IF(#REF!=7,"25-26/1",
IF(#REF!=8,"25-26/2","Hata5")))))))),
IF(#REF!+BM76=2023,
IF(#REF!=1,"23-24/1",
IF(#REF!=2,"23-24/2",
IF(#REF!=3,"24-25/1",
IF(#REF!=4,"24-25/2",
IF(#REF!=5,"25-26/1",
IF(#REF!=6,"25-26/2",
IF(#REF!=7,"26-27/1",
IF(#REF!=8,"26-27/2","Hata6")))))))),
)))))),
IF(BE76="T",
IF(#REF!+BM76=2018,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6" s="1" t="s">
        <v>185</v>
      </c>
      <c r="L76" s="2">
        <v>3397</v>
      </c>
      <c r="N76" s="2">
        <v>4</v>
      </c>
      <c r="O76" s="6">
        <f t="shared" si="42"/>
        <v>3</v>
      </c>
      <c r="P76" s="2">
        <f t="shared" si="43"/>
        <v>3</v>
      </c>
      <c r="Q76" s="2">
        <v>0</v>
      </c>
      <c r="R76" s="2">
        <v>0</v>
      </c>
      <c r="S76" s="2">
        <v>3</v>
      </c>
      <c r="X76" s="3">
        <v>2</v>
      </c>
      <c r="Y76" s="1">
        <f>VLOOKUP(X76,[4]ölçme_sistemleri!I:L,2,FALSE)</f>
        <v>0</v>
      </c>
      <c r="Z76" s="1">
        <f>VLOOKUP(X76,[4]ölçme_sistemleri!I:L,3,FALSE)</f>
        <v>2</v>
      </c>
      <c r="AA76" s="1">
        <f>VLOOKUP(X76,[4]ölçme_sistemleri!I:L,4,FALSE)</f>
        <v>1</v>
      </c>
      <c r="AB76" s="1">
        <f>$O76*[4]ölçme_sistemleri!J$13</f>
        <v>3</v>
      </c>
      <c r="AC76" s="1">
        <f>$O76*[4]ölçme_sistemleri!K$13</f>
        <v>6</v>
      </c>
      <c r="AD76" s="1">
        <f>$O76*[4]ölçme_sistemleri!L$13</f>
        <v>9</v>
      </c>
      <c r="AE76" s="1">
        <f t="shared" si="44"/>
        <v>0</v>
      </c>
      <c r="AF76" s="1">
        <f t="shared" si="45"/>
        <v>12</v>
      </c>
      <c r="AG76" s="1">
        <f t="shared" si="46"/>
        <v>9</v>
      </c>
      <c r="AH76" s="1">
        <f t="shared" si="47"/>
        <v>21</v>
      </c>
      <c r="AI76" s="1">
        <v>14</v>
      </c>
      <c r="AJ76" s="1">
        <f>VLOOKUP(X76,[4]ölçme_sistemleri!I:M,5,FALSE)</f>
        <v>2</v>
      </c>
      <c r="AK76" s="1">
        <f t="shared" si="48"/>
        <v>294</v>
      </c>
      <c r="AL76" s="1">
        <f>(Q76+S76)*AI76</f>
        <v>42</v>
      </c>
      <c r="AM76" s="1">
        <f>VLOOKUP(X76,[4]ölçme_sistemleri!I:N,6,FALSE)</f>
        <v>3</v>
      </c>
      <c r="AN76" s="1">
        <v>2</v>
      </c>
      <c r="AO76" s="1">
        <f t="shared" si="49"/>
        <v>6</v>
      </c>
      <c r="AP76" s="1">
        <v>14</v>
      </c>
      <c r="AQ76" s="1">
        <f t="shared" si="59"/>
        <v>42</v>
      </c>
      <c r="AR76" s="1">
        <f t="shared" si="50"/>
        <v>111</v>
      </c>
      <c r="AS76" s="1">
        <f t="shared" si="67"/>
        <v>25</v>
      </c>
      <c r="AT76" s="1">
        <f t="shared" si="51"/>
        <v>4</v>
      </c>
      <c r="AU76" s="1">
        <f t="shared" si="60"/>
        <v>0</v>
      </c>
      <c r="AV76" s="1">
        <f t="shared" si="61"/>
        <v>0</v>
      </c>
      <c r="AW76" s="1">
        <f t="shared" si="62"/>
        <v>0</v>
      </c>
      <c r="AX76" s="1">
        <f t="shared" si="63"/>
        <v>0</v>
      </c>
      <c r="AY76" s="1">
        <f t="shared" si="52"/>
        <v>-21</v>
      </c>
      <c r="AZ76" s="1">
        <f t="shared" si="64"/>
        <v>0</v>
      </c>
      <c r="BA76" s="1">
        <f t="shared" si="53"/>
        <v>-42</v>
      </c>
      <c r="BB76" s="1">
        <f t="shared" si="54"/>
        <v>0</v>
      </c>
      <c r="BC76" s="1">
        <f t="shared" si="55"/>
        <v>-6</v>
      </c>
      <c r="BD76" s="1">
        <f t="shared" si="56"/>
        <v>0</v>
      </c>
      <c r="BE76" s="1" t="s">
        <v>65</v>
      </c>
      <c r="BF76" s="1">
        <f t="shared" si="65"/>
        <v>42</v>
      </c>
      <c r="BG76" s="1">
        <f t="shared" si="57"/>
        <v>42</v>
      </c>
      <c r="BH76" s="1">
        <f t="shared" si="58"/>
        <v>1</v>
      </c>
      <c r="BI76" s="1" t="e">
        <f>IF(BH76-#REF!=0,"DOĞRU","YANLIŞ")</f>
        <v>#REF!</v>
      </c>
      <c r="BJ76" s="1" t="e">
        <f>#REF!-BH76</f>
        <v>#REF!</v>
      </c>
      <c r="BK76" s="1">
        <v>0</v>
      </c>
      <c r="BM76" s="1">
        <v>0</v>
      </c>
      <c r="BO76" s="1">
        <v>2</v>
      </c>
      <c r="BT76" s="8">
        <f t="shared" si="66"/>
        <v>0</v>
      </c>
      <c r="BU76" s="9"/>
      <c r="BV76" s="10"/>
      <c r="BW76" s="11"/>
      <c r="BX76" s="11"/>
      <c r="BY76" s="11"/>
      <c r="BZ76" s="11"/>
      <c r="CA76" s="11"/>
      <c r="CB76" s="12"/>
      <c r="CC76" s="13"/>
      <c r="CD76" s="14"/>
      <c r="CL76" s="11"/>
      <c r="CM76" s="11"/>
      <c r="CN76" s="11"/>
      <c r="CO76" s="11"/>
      <c r="CP76" s="11"/>
      <c r="CQ76" s="51"/>
      <c r="CR76" s="57"/>
      <c r="CS76" s="53"/>
      <c r="CT76" s="53"/>
      <c r="CU76" s="53"/>
      <c r="CV76" s="53"/>
      <c r="CW76" s="49"/>
      <c r="CX76" s="49"/>
    </row>
    <row r="77" spans="1:102" hidden="1" x14ac:dyDescent="0.25">
      <c r="A77" s="1" t="s">
        <v>148</v>
      </c>
      <c r="B77" s="1" t="s">
        <v>149</v>
      </c>
      <c r="C77" s="1" t="s">
        <v>149</v>
      </c>
      <c r="D77" s="2" t="s">
        <v>63</v>
      </c>
      <c r="E77" s="2" t="s">
        <v>63</v>
      </c>
      <c r="F77" s="3" t="e">
        <f>IF(BE77="S",
IF(#REF!+BM77=2018,
IF(#REF!=1,"18-19/1",
IF(#REF!=2,"18-19/2",
IF(#REF!=3,"19-20/1",
IF(#REF!=4,"19-20/2",
IF(#REF!=5,"20-21/1",
IF(#REF!=6,"20-21/2",
IF(#REF!=7,"21-22/1",
IF(#REF!=8,"21-22/2","Hata1")))))))),
IF(#REF!+BM77=2019,
IF(#REF!=1,"19-20/1",
IF(#REF!=2,"19-20/2",
IF(#REF!=3,"20-21/1",
IF(#REF!=4,"20-21/2",
IF(#REF!=5,"21-22/1",
IF(#REF!=6,"21-22/2",
IF(#REF!=7,"22-23/1",
IF(#REF!=8,"22-23/2","Hata2")))))))),
IF(#REF!+BM77=2020,
IF(#REF!=1,"20-21/1",
IF(#REF!=2,"20-21/2",
IF(#REF!=3,"21-22/1",
IF(#REF!=4,"21-22/2",
IF(#REF!=5,"22-23/1",
IF(#REF!=6,"22-23/2",
IF(#REF!=7,"23-24/1",
IF(#REF!=8,"23-24/2","Hata3")))))))),
IF(#REF!+BM77=2021,
IF(#REF!=1,"21-22/1",
IF(#REF!=2,"21-22/2",
IF(#REF!=3,"22-23/1",
IF(#REF!=4,"22-23/2",
IF(#REF!=5,"23-24/1",
IF(#REF!=6,"23-24/2",
IF(#REF!=7,"24-25/1",
IF(#REF!=8,"24-25/2","Hata4")))))))),
IF(#REF!+BM77=2022,
IF(#REF!=1,"22-23/1",
IF(#REF!=2,"22-23/2",
IF(#REF!=3,"23-24/1",
IF(#REF!=4,"23-24/2",
IF(#REF!=5,"24-25/1",
IF(#REF!=6,"24-25/2",
IF(#REF!=7,"25-26/1",
IF(#REF!=8,"25-26/2","Hata5")))))))),
IF(#REF!+BM77=2023,
IF(#REF!=1,"23-24/1",
IF(#REF!=2,"23-24/2",
IF(#REF!=3,"24-25/1",
IF(#REF!=4,"24-25/2",
IF(#REF!=5,"25-26/1",
IF(#REF!=6,"25-26/2",
IF(#REF!=7,"26-27/1",
IF(#REF!=8,"26-27/2","Hata6")))))))),
)))))),
IF(BE77="T",
IF(#REF!+BM77=2018,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7" s="1" t="s">
        <v>78</v>
      </c>
      <c r="J77" s="1">
        <v>4234784</v>
      </c>
      <c r="L77" s="2">
        <v>149</v>
      </c>
      <c r="N77" s="2">
        <v>4</v>
      </c>
      <c r="O77" s="6">
        <f t="shared" si="42"/>
        <v>3</v>
      </c>
      <c r="P77" s="2">
        <f t="shared" si="43"/>
        <v>4</v>
      </c>
      <c r="Q77" s="2">
        <v>2</v>
      </c>
      <c r="R77" s="2">
        <v>2</v>
      </c>
      <c r="S77" s="2">
        <v>0</v>
      </c>
      <c r="X77" s="3">
        <v>2</v>
      </c>
      <c r="Y77" s="1">
        <f>VLOOKUP(X77,[12]ölçme_sistemleri!I:L,2,FALSE)</f>
        <v>0</v>
      </c>
      <c r="Z77" s="1">
        <f>VLOOKUP(X77,[12]ölçme_sistemleri!I:L,3,FALSE)</f>
        <v>2</v>
      </c>
      <c r="AA77" s="1">
        <f>VLOOKUP(X77,[12]ölçme_sistemleri!I:L,4,FALSE)</f>
        <v>1</v>
      </c>
      <c r="AB77" s="1">
        <f>$O77*[12]ölçme_sistemleri!J$13</f>
        <v>3</v>
      </c>
      <c r="AC77" s="1">
        <f>$O77*[12]ölçme_sistemleri!K$13</f>
        <v>6</v>
      </c>
      <c r="AD77" s="1">
        <f>$O77*[12]ölçme_sistemleri!L$13</f>
        <v>9</v>
      </c>
      <c r="AE77" s="1">
        <f t="shared" si="44"/>
        <v>0</v>
      </c>
      <c r="AF77" s="1">
        <f t="shared" si="45"/>
        <v>12</v>
      </c>
      <c r="AG77" s="1">
        <f t="shared" si="46"/>
        <v>9</v>
      </c>
      <c r="AH77" s="1">
        <f t="shared" si="47"/>
        <v>21</v>
      </c>
      <c r="AI77" s="1">
        <v>14</v>
      </c>
      <c r="AJ77" s="1">
        <f>VLOOKUP(X77,[12]ölçme_sistemleri!I:M,5,FALSE)</f>
        <v>2</v>
      </c>
      <c r="AK77" s="1">
        <f t="shared" si="48"/>
        <v>294</v>
      </c>
      <c r="AL77" s="1">
        <f>(Q77+S77)*AI77</f>
        <v>28</v>
      </c>
      <c r="AM77" s="1">
        <f>VLOOKUP(X77,[12]ölçme_sistemleri!I:N,6,FALSE)</f>
        <v>3</v>
      </c>
      <c r="AN77" s="1">
        <v>2</v>
      </c>
      <c r="AO77" s="1">
        <f t="shared" si="49"/>
        <v>6</v>
      </c>
      <c r="AP77" s="1">
        <v>14</v>
      </c>
      <c r="AQ77" s="1">
        <f t="shared" si="59"/>
        <v>56</v>
      </c>
      <c r="AR77" s="1">
        <f t="shared" si="50"/>
        <v>111</v>
      </c>
      <c r="AS77" s="1">
        <f>IF(BE77="s",25,30)</f>
        <v>25</v>
      </c>
      <c r="AT77" s="1">
        <f t="shared" si="51"/>
        <v>4</v>
      </c>
      <c r="AU77" s="1">
        <f t="shared" si="60"/>
        <v>0</v>
      </c>
      <c r="AV77" s="1">
        <f t="shared" si="61"/>
        <v>0</v>
      </c>
      <c r="AW77" s="1">
        <f t="shared" si="62"/>
        <v>0</v>
      </c>
      <c r="AX77" s="1">
        <f t="shared" si="63"/>
        <v>0</v>
      </c>
      <c r="AY77" s="1">
        <f t="shared" si="52"/>
        <v>-21</v>
      </c>
      <c r="AZ77" s="1">
        <f t="shared" si="64"/>
        <v>0</v>
      </c>
      <c r="BA77" s="1">
        <f t="shared" si="53"/>
        <v>-28</v>
      </c>
      <c r="BB77" s="1">
        <f t="shared" si="54"/>
        <v>0</v>
      </c>
      <c r="BC77" s="1">
        <f t="shared" si="55"/>
        <v>-6</v>
      </c>
      <c r="BD77" s="1">
        <f t="shared" si="56"/>
        <v>0</v>
      </c>
      <c r="BE77" s="1" t="s">
        <v>65</v>
      </c>
      <c r="BF77" s="1">
        <f t="shared" si="65"/>
        <v>42</v>
      </c>
      <c r="BG77" s="1">
        <f t="shared" si="57"/>
        <v>42</v>
      </c>
      <c r="BH77" s="1">
        <f t="shared" si="58"/>
        <v>1</v>
      </c>
      <c r="BI77" s="1" t="e">
        <f>IF(BH77-#REF!=0,"DOĞRU","YANLIŞ")</f>
        <v>#REF!</v>
      </c>
      <c r="BJ77" s="1" t="e">
        <f>#REF!-BH77</f>
        <v>#REF!</v>
      </c>
      <c r="BK77" s="1">
        <v>0</v>
      </c>
      <c r="BM77" s="1">
        <v>0</v>
      </c>
      <c r="BO77" s="1">
        <v>2</v>
      </c>
      <c r="BT77" s="8">
        <f t="shared" si="66"/>
        <v>28</v>
      </c>
      <c r="BU77" s="9"/>
      <c r="BV77" s="10"/>
      <c r="BW77" s="11"/>
      <c r="BX77" s="11"/>
      <c r="BY77" s="11"/>
      <c r="BZ77" s="11"/>
      <c r="CA77" s="11"/>
      <c r="CB77" s="12"/>
      <c r="CC77" s="13"/>
      <c r="CD77" s="14"/>
      <c r="CL77" s="11"/>
      <c r="CM77" s="11"/>
      <c r="CN77" s="11"/>
      <c r="CO77" s="11"/>
      <c r="CP77" s="11"/>
      <c r="CQ77" s="49"/>
      <c r="CR77" s="46"/>
      <c r="CS77" s="48"/>
      <c r="CT77" s="48"/>
      <c r="CU77" s="48"/>
      <c r="CV77" s="48"/>
      <c r="CW77" s="49"/>
      <c r="CX77" s="49"/>
    </row>
    <row r="78" spans="1:102" hidden="1" x14ac:dyDescent="0.25">
      <c r="A78" s="1" t="s">
        <v>150</v>
      </c>
      <c r="B78" s="42" t="s">
        <v>151</v>
      </c>
      <c r="C78" s="1" t="s">
        <v>151</v>
      </c>
      <c r="D78" s="2" t="s">
        <v>58</v>
      </c>
      <c r="E78" s="2" t="s">
        <v>58</v>
      </c>
      <c r="F78" s="3" t="e">
        <f>IF(BE78="S",
IF(#REF!+BM78=2018,
IF(#REF!=1,"18-19/1",
IF(#REF!=2,"18-19/2",
IF(#REF!=3,"19-20/1",
IF(#REF!=4,"19-20/2",
IF(#REF!=5,"20-21/1",
IF(#REF!=6,"20-21/2",
IF(#REF!=7,"21-22/1",
IF(#REF!=8,"21-22/2","Hata1")))))))),
IF(#REF!+BM78=2019,
IF(#REF!=1,"19-20/1",
IF(#REF!=2,"19-20/2",
IF(#REF!=3,"20-21/1",
IF(#REF!=4,"20-21/2",
IF(#REF!=5,"21-22/1",
IF(#REF!=6,"21-22/2",
IF(#REF!=7,"22-23/1",
IF(#REF!=8,"22-23/2","Hata2")))))))),
IF(#REF!+BM78=2020,
IF(#REF!=1,"20-21/1",
IF(#REF!=2,"20-21/2",
IF(#REF!=3,"21-22/1",
IF(#REF!=4,"21-22/2",
IF(#REF!=5,"22-23/1",
IF(#REF!=6,"22-23/2",
IF(#REF!=7,"23-24/1",
IF(#REF!=8,"23-24/2","Hata3")))))))),
IF(#REF!+BM78=2021,
IF(#REF!=1,"21-22/1",
IF(#REF!=2,"21-22/2",
IF(#REF!=3,"22-23/1",
IF(#REF!=4,"22-23/2",
IF(#REF!=5,"23-24/1",
IF(#REF!=6,"23-24/2",
IF(#REF!=7,"24-25/1",
IF(#REF!=8,"24-25/2","Hata4")))))))),
IF(#REF!+BM78=2022,
IF(#REF!=1,"22-23/1",
IF(#REF!=2,"22-23/2",
IF(#REF!=3,"23-24/1",
IF(#REF!=4,"23-24/2",
IF(#REF!=5,"24-25/1",
IF(#REF!=6,"24-25/2",
IF(#REF!=7,"25-26/1",
IF(#REF!=8,"25-26/2","Hata5")))))))),
IF(#REF!+BM78=2023,
IF(#REF!=1,"23-24/1",
IF(#REF!=2,"23-24/2",
IF(#REF!=3,"24-25/1",
IF(#REF!=4,"24-25/2",
IF(#REF!=5,"25-26/1",
IF(#REF!=6,"25-26/2",
IF(#REF!=7,"26-27/1",
IF(#REF!=8,"26-27/2","Hata6")))))))),
)))))),
IF(BE78="T",
IF(#REF!+BM78=2018,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78" s="3">
        <v>0</v>
      </c>
      <c r="I78" s="1" t="s">
        <v>78</v>
      </c>
      <c r="J78" s="1">
        <v>4234784</v>
      </c>
      <c r="L78" s="2">
        <v>394</v>
      </c>
      <c r="N78" s="2">
        <v>4</v>
      </c>
      <c r="O78" s="6">
        <f t="shared" si="42"/>
        <v>2</v>
      </c>
      <c r="P78" s="2">
        <f t="shared" si="43"/>
        <v>2</v>
      </c>
      <c r="Q78" s="2">
        <v>0</v>
      </c>
      <c r="R78" s="2">
        <v>0</v>
      </c>
      <c r="S78" s="2">
        <v>2</v>
      </c>
      <c r="X78" s="3">
        <v>4</v>
      </c>
      <c r="Y78" s="1">
        <f>VLOOKUP(X78,[13]ölçme_sistemleri!I:L,2,FALSE)</f>
        <v>0</v>
      </c>
      <c r="Z78" s="1">
        <f>VLOOKUP(X78,[13]ölçme_sistemleri!I:L,3,FALSE)</f>
        <v>1</v>
      </c>
      <c r="AA78" s="1">
        <f>VLOOKUP(X78,[13]ölçme_sistemleri!I:L,4,FALSE)</f>
        <v>1</v>
      </c>
      <c r="AB78" s="1">
        <f>$O78*[13]ölçme_sistemleri!J$13</f>
        <v>2</v>
      </c>
      <c r="AC78" s="1">
        <f>$O78*[13]ölçme_sistemleri!K$13</f>
        <v>4</v>
      </c>
      <c r="AD78" s="1">
        <f>$O78*[13]ölçme_sistemleri!L$13</f>
        <v>6</v>
      </c>
      <c r="AE78" s="1">
        <f t="shared" si="44"/>
        <v>0</v>
      </c>
      <c r="AF78" s="1">
        <f t="shared" si="45"/>
        <v>4</v>
      </c>
      <c r="AG78" s="1">
        <f t="shared" si="46"/>
        <v>6</v>
      </c>
      <c r="AH78" s="1">
        <f t="shared" si="47"/>
        <v>10</v>
      </c>
      <c r="AI78" s="1">
        <v>14</v>
      </c>
      <c r="AJ78" s="1">
        <f>VLOOKUP(X78,[13]ölçme_sistemleri!I:M,5,FALSE)</f>
        <v>1</v>
      </c>
      <c r="AK78" s="1">
        <f t="shared" si="48"/>
        <v>140</v>
      </c>
      <c r="AL78" s="1">
        <f>AI78*4</f>
        <v>56</v>
      </c>
      <c r="AM78" s="1">
        <f>VLOOKUP(X78,[13]ölçme_sistemleri!I:N,6,FALSE)</f>
        <v>2</v>
      </c>
      <c r="AN78" s="1">
        <v>2</v>
      </c>
      <c r="AO78" s="1">
        <f t="shared" si="49"/>
        <v>4</v>
      </c>
      <c r="AP78" s="1">
        <v>14</v>
      </c>
      <c r="AQ78" s="1">
        <f t="shared" si="59"/>
        <v>28</v>
      </c>
      <c r="AR78" s="1">
        <f t="shared" si="50"/>
        <v>98</v>
      </c>
      <c r="AS78" s="1">
        <f>IF(BE78="s",25,30)</f>
        <v>25</v>
      </c>
      <c r="AT78" s="1">
        <f t="shared" si="51"/>
        <v>4</v>
      </c>
      <c r="AU78" s="1">
        <f t="shared" si="60"/>
        <v>0</v>
      </c>
      <c r="AV78" s="1">
        <f t="shared" si="61"/>
        <v>0</v>
      </c>
      <c r="AW78" s="1">
        <f t="shared" si="62"/>
        <v>0</v>
      </c>
      <c r="AX78" s="1">
        <f t="shared" si="63"/>
        <v>0</v>
      </c>
      <c r="AY78" s="1">
        <f t="shared" si="52"/>
        <v>-10</v>
      </c>
      <c r="AZ78" s="1">
        <f t="shared" si="64"/>
        <v>0</v>
      </c>
      <c r="BA78" s="1">
        <f t="shared" si="53"/>
        <v>-56</v>
      </c>
      <c r="BB78" s="1">
        <f t="shared" si="54"/>
        <v>0</v>
      </c>
      <c r="BC78" s="1">
        <f t="shared" si="55"/>
        <v>-4</v>
      </c>
      <c r="BD78" s="1">
        <f t="shared" si="56"/>
        <v>0</v>
      </c>
      <c r="BE78" s="1" t="s">
        <v>65</v>
      </c>
      <c r="BF78" s="1">
        <f t="shared" si="65"/>
        <v>28</v>
      </c>
      <c r="BG78" s="1">
        <f t="shared" si="57"/>
        <v>28</v>
      </c>
      <c r="BH78" s="1">
        <f t="shared" si="58"/>
        <v>1</v>
      </c>
      <c r="BI78" s="1" t="e">
        <f>IF(BH78-#REF!=0,"DOĞRU","YANLIŞ")</f>
        <v>#REF!</v>
      </c>
      <c r="BJ78" s="1" t="e">
        <f>#REF!-BH78</f>
        <v>#REF!</v>
      </c>
      <c r="BK78" s="1">
        <v>0</v>
      </c>
      <c r="BM78" s="1">
        <v>0</v>
      </c>
      <c r="BO78" s="1">
        <v>0</v>
      </c>
      <c r="BT78" s="8">
        <f t="shared" si="66"/>
        <v>0</v>
      </c>
      <c r="BU78" s="9"/>
      <c r="BV78" s="10"/>
      <c r="BW78" s="11"/>
      <c r="BX78" s="11"/>
      <c r="BY78" s="11"/>
      <c r="BZ78" s="11"/>
      <c r="CA78" s="11"/>
      <c r="CB78" s="12"/>
      <c r="CC78" s="13"/>
      <c r="CD78" s="14"/>
      <c r="CL78" s="11"/>
      <c r="CM78" s="50"/>
      <c r="CN78" s="50"/>
      <c r="CO78" s="50"/>
      <c r="CP78" s="50"/>
      <c r="CQ78" s="49"/>
      <c r="CR78" s="46"/>
      <c r="CS78" s="49"/>
      <c r="CT78" s="48"/>
      <c r="CU78" s="49"/>
      <c r="CV78" s="48"/>
      <c r="CW78" s="49"/>
      <c r="CX78" s="49"/>
    </row>
    <row r="79" spans="1:102" hidden="1" x14ac:dyDescent="0.25">
      <c r="A79" s="1" t="s">
        <v>357</v>
      </c>
      <c r="B79" s="1" t="s">
        <v>358</v>
      </c>
      <c r="C79" s="1" t="s">
        <v>358</v>
      </c>
      <c r="D79" s="2" t="s">
        <v>63</v>
      </c>
      <c r="E79" s="2" t="s">
        <v>63</v>
      </c>
      <c r="F79" s="3" t="e">
        <f>IF(BE79="S",
IF(#REF!+BM79=2018,
IF(#REF!=1,"18-19/1",
IF(#REF!=2,"18-19/2",
IF(#REF!=3,"19-20/1",
IF(#REF!=4,"19-20/2",
IF(#REF!=5,"20-21/1",
IF(#REF!=6,"20-21/2",
IF(#REF!=7,"21-22/1",
IF(#REF!=8,"21-22/2","Hata1")))))))),
IF(#REF!+BM79=2019,
IF(#REF!=1,"19-20/1",
IF(#REF!=2,"19-20/2",
IF(#REF!=3,"20-21/1",
IF(#REF!=4,"20-21/2",
IF(#REF!=5,"21-22/1",
IF(#REF!=6,"21-22/2",
IF(#REF!=7,"22-23/1",
IF(#REF!=8,"22-23/2","Hata2")))))))),
IF(#REF!+BM79=2020,
IF(#REF!=1,"20-21/1",
IF(#REF!=2,"20-21/2",
IF(#REF!=3,"21-22/1",
IF(#REF!=4,"21-22/2",
IF(#REF!=5,"22-23/1",
IF(#REF!=6,"22-23/2",
IF(#REF!=7,"23-24/1",
IF(#REF!=8,"23-24/2","Hata3")))))))),
IF(#REF!+BM79=2021,
IF(#REF!=1,"21-22/1",
IF(#REF!=2,"21-22/2",
IF(#REF!=3,"22-23/1",
IF(#REF!=4,"22-23/2",
IF(#REF!=5,"23-24/1",
IF(#REF!=6,"23-24/2",
IF(#REF!=7,"24-25/1",
IF(#REF!=8,"24-25/2","Hata4")))))))),
IF(#REF!+BM79=2022,
IF(#REF!=1,"22-23/1",
IF(#REF!=2,"22-23/2",
IF(#REF!=3,"23-24/1",
IF(#REF!=4,"23-24/2",
IF(#REF!=5,"24-25/1",
IF(#REF!=6,"24-25/2",
IF(#REF!=7,"25-26/1",
IF(#REF!=8,"25-26/2","Hata5")))))))),
IF(#REF!+BM79=2023,
IF(#REF!=1,"23-24/1",
IF(#REF!=2,"23-24/2",
IF(#REF!=3,"24-25/1",
IF(#REF!=4,"24-25/2",
IF(#REF!=5,"25-26/1",
IF(#REF!=6,"25-26/2",
IF(#REF!=7,"26-27/1",
IF(#REF!=8,"26-27/2","Hata6")))))))),
)))))),
IF(BE79="T",
IF(#REF!+BM79=2018,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IF(#REF!+BM79=2019,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IF(#REF!+BM79=2020,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IF(#REF!+BM79=2021,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IF(#REF!+BM79=2022,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IF(#REF!+BM79=2023,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79" s="1" t="s">
        <v>78</v>
      </c>
      <c r="J79" s="1">
        <v>4234784</v>
      </c>
      <c r="L79" s="2">
        <v>4366</v>
      </c>
      <c r="N79" s="2">
        <v>1</v>
      </c>
      <c r="O79" s="6">
        <f t="shared" si="42"/>
        <v>1</v>
      </c>
      <c r="P79" s="2">
        <f t="shared" si="43"/>
        <v>1</v>
      </c>
      <c r="Q79" s="2">
        <v>1</v>
      </c>
      <c r="R79" s="2">
        <v>0</v>
      </c>
      <c r="S79" s="2">
        <v>0</v>
      </c>
      <c r="X79" s="3">
        <v>0</v>
      </c>
      <c r="Y79" s="1">
        <f>VLOOKUP(X79,[4]ölçme_sistemleri!I:L,2,FALSE)</f>
        <v>0</v>
      </c>
      <c r="Z79" s="1">
        <f>VLOOKUP(X79,[4]ölçme_sistemleri!I:L,3,FALSE)</f>
        <v>0</v>
      </c>
      <c r="AA79" s="1">
        <f>VLOOKUP(X79,[4]ölçme_sistemleri!I:L,4,FALSE)</f>
        <v>0</v>
      </c>
      <c r="AB79" s="1">
        <f>$O79*[4]ölçme_sistemleri!J$13</f>
        <v>1</v>
      </c>
      <c r="AC79" s="1">
        <f>$O79*[4]ölçme_sistemleri!K$13</f>
        <v>2</v>
      </c>
      <c r="AD79" s="1">
        <f>$O79*[4]ölçme_sistemleri!L$13</f>
        <v>3</v>
      </c>
      <c r="AE79" s="1">
        <f t="shared" si="44"/>
        <v>0</v>
      </c>
      <c r="AF79" s="1">
        <f t="shared" si="45"/>
        <v>0</v>
      </c>
      <c r="AG79" s="1">
        <f t="shared" si="46"/>
        <v>0</v>
      </c>
      <c r="AH79" s="1">
        <f t="shared" si="47"/>
        <v>0</v>
      </c>
      <c r="AI79" s="1">
        <v>14</v>
      </c>
      <c r="AJ79" s="1">
        <f>VLOOKUP(X79,[4]ölçme_sistemleri!I:M,5,FALSE)</f>
        <v>0</v>
      </c>
      <c r="AK79" s="1">
        <f t="shared" si="48"/>
        <v>0</v>
      </c>
      <c r="AL79" s="1">
        <f>(Q79+S79)*AI79</f>
        <v>14</v>
      </c>
      <c r="AM79" s="1">
        <f>VLOOKUP(X79,[4]ölçme_sistemleri!I:N,6,FALSE)</f>
        <v>0</v>
      </c>
      <c r="AN79" s="1">
        <v>2</v>
      </c>
      <c r="AO79" s="1">
        <f t="shared" si="49"/>
        <v>0</v>
      </c>
      <c r="AP79" s="1">
        <v>14</v>
      </c>
      <c r="AQ79" s="1">
        <f t="shared" si="59"/>
        <v>14</v>
      </c>
      <c r="AR79" s="1">
        <f t="shared" si="50"/>
        <v>28</v>
      </c>
      <c r="AS79" s="1">
        <f>IF(BE79="s",25,25)</f>
        <v>25</v>
      </c>
      <c r="AT79" s="1">
        <f t="shared" si="51"/>
        <v>1</v>
      </c>
      <c r="AU79" s="1">
        <f t="shared" si="60"/>
        <v>0</v>
      </c>
      <c r="AV79" s="1">
        <f t="shared" si="61"/>
        <v>0</v>
      </c>
      <c r="AW79" s="1">
        <f t="shared" si="62"/>
        <v>0</v>
      </c>
      <c r="AX79" s="1">
        <f t="shared" si="63"/>
        <v>0</v>
      </c>
      <c r="AY79" s="1">
        <f t="shared" si="52"/>
        <v>-3</v>
      </c>
      <c r="AZ79" s="1">
        <f t="shared" si="64"/>
        <v>0</v>
      </c>
      <c r="BA79" s="1">
        <f t="shared" si="53"/>
        <v>-14</v>
      </c>
      <c r="BB79" s="1">
        <f t="shared" si="54"/>
        <v>0</v>
      </c>
      <c r="BC79" s="1">
        <f t="shared" si="55"/>
        <v>0</v>
      </c>
      <c r="BD79" s="1">
        <f t="shared" si="56"/>
        <v>0</v>
      </c>
      <c r="BE79" s="1" t="s">
        <v>65</v>
      </c>
      <c r="BF79" s="1">
        <f t="shared" si="65"/>
        <v>14</v>
      </c>
      <c r="BG79" s="1">
        <f t="shared" si="57"/>
        <v>14</v>
      </c>
      <c r="BH79" s="1">
        <f t="shared" si="58"/>
        <v>0</v>
      </c>
      <c r="BI79" s="1" t="e">
        <f>IF(BH79-#REF!=0,"DOĞRU","YANLIŞ")</f>
        <v>#REF!</v>
      </c>
      <c r="BJ79" s="1" t="e">
        <f>#REF!-BH79</f>
        <v>#REF!</v>
      </c>
      <c r="BK79" s="1">
        <v>0</v>
      </c>
      <c r="BM79" s="1">
        <v>0</v>
      </c>
      <c r="BO79" s="1">
        <v>0</v>
      </c>
      <c r="BT79" s="8">
        <f t="shared" si="66"/>
        <v>0</v>
      </c>
      <c r="BU79" s="9"/>
      <c r="BV79" s="10"/>
      <c r="BW79" s="11"/>
      <c r="BX79" s="11"/>
      <c r="BY79" s="11"/>
      <c r="BZ79" s="11"/>
      <c r="CA79" s="11"/>
      <c r="CB79" s="12"/>
      <c r="CC79" s="13"/>
      <c r="CD79" s="14"/>
      <c r="CL79" s="11"/>
      <c r="CM79" s="11"/>
      <c r="CN79" s="59"/>
      <c r="CO79" s="59"/>
      <c r="CP79" s="59"/>
      <c r="CQ79" s="60"/>
      <c r="CR79" s="46"/>
      <c r="CS79" s="53"/>
      <c r="CT79" s="53"/>
      <c r="CU79" s="53"/>
      <c r="CV79" s="53"/>
      <c r="CW79" s="49"/>
      <c r="CX79" s="49"/>
    </row>
    <row r="80" spans="1:102" hidden="1" x14ac:dyDescent="0.25">
      <c r="A80" s="1" t="s">
        <v>357</v>
      </c>
      <c r="B80" s="1" t="s">
        <v>358</v>
      </c>
      <c r="C80" s="1" t="s">
        <v>358</v>
      </c>
      <c r="D80" s="2" t="s">
        <v>63</v>
      </c>
      <c r="E80" s="2" t="s">
        <v>63</v>
      </c>
      <c r="F80" s="3" t="e">
        <f>IF(BE80="S",
IF(#REF!+BM80=2018,
IF(#REF!=1,"18-19/1",
IF(#REF!=2,"18-19/2",
IF(#REF!=3,"19-20/1",
IF(#REF!=4,"19-20/2",
IF(#REF!=5,"20-21/1",
IF(#REF!=6,"20-21/2",
IF(#REF!=7,"21-22/1",
IF(#REF!=8,"21-22/2","Hata1")))))))),
IF(#REF!+BM80=2019,
IF(#REF!=1,"19-20/1",
IF(#REF!=2,"19-20/2",
IF(#REF!=3,"20-21/1",
IF(#REF!=4,"20-21/2",
IF(#REF!=5,"21-22/1",
IF(#REF!=6,"21-22/2",
IF(#REF!=7,"22-23/1",
IF(#REF!=8,"22-23/2","Hata2")))))))),
IF(#REF!+BM80=2020,
IF(#REF!=1,"20-21/1",
IF(#REF!=2,"20-21/2",
IF(#REF!=3,"21-22/1",
IF(#REF!=4,"21-22/2",
IF(#REF!=5,"22-23/1",
IF(#REF!=6,"22-23/2",
IF(#REF!=7,"23-24/1",
IF(#REF!=8,"23-24/2","Hata3")))))))),
IF(#REF!+BM80=2021,
IF(#REF!=1,"21-22/1",
IF(#REF!=2,"21-22/2",
IF(#REF!=3,"22-23/1",
IF(#REF!=4,"22-23/2",
IF(#REF!=5,"23-24/1",
IF(#REF!=6,"23-24/2",
IF(#REF!=7,"24-25/1",
IF(#REF!=8,"24-25/2","Hata4")))))))),
IF(#REF!+BM80=2022,
IF(#REF!=1,"22-23/1",
IF(#REF!=2,"22-23/2",
IF(#REF!=3,"23-24/1",
IF(#REF!=4,"23-24/2",
IF(#REF!=5,"24-25/1",
IF(#REF!=6,"24-25/2",
IF(#REF!=7,"25-26/1",
IF(#REF!=8,"25-26/2","Hata5")))))))),
IF(#REF!+BM80=2023,
IF(#REF!=1,"23-24/1",
IF(#REF!=2,"23-24/2",
IF(#REF!=3,"24-25/1",
IF(#REF!=4,"24-25/2",
IF(#REF!=5,"25-26/1",
IF(#REF!=6,"25-26/2",
IF(#REF!=7,"26-27/1",
IF(#REF!=8,"26-27/2","Hata6")))))))),
)))))),
IF(BE80="T",
IF(#REF!+BM80=2018,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0" s="1" t="s">
        <v>78</v>
      </c>
      <c r="J80" s="1">
        <v>4234784</v>
      </c>
      <c r="L80" s="2">
        <v>4366</v>
      </c>
      <c r="N80" s="2">
        <v>1</v>
      </c>
      <c r="O80" s="6">
        <f t="shared" si="42"/>
        <v>1</v>
      </c>
      <c r="P80" s="2">
        <f t="shared" si="43"/>
        <v>1</v>
      </c>
      <c r="Q80" s="2">
        <v>1</v>
      </c>
      <c r="R80" s="2">
        <v>0</v>
      </c>
      <c r="S80" s="2">
        <v>0</v>
      </c>
      <c r="X80" s="3">
        <v>0</v>
      </c>
      <c r="Y80" s="1">
        <f>VLOOKUP(X80,[4]ölçme_sistemleri!I:L,2,FALSE)</f>
        <v>0</v>
      </c>
      <c r="Z80" s="1">
        <f>VLOOKUP(X80,[4]ölçme_sistemleri!I:L,3,FALSE)</f>
        <v>0</v>
      </c>
      <c r="AA80" s="1">
        <f>VLOOKUP(X80,[4]ölçme_sistemleri!I:L,4,FALSE)</f>
        <v>0</v>
      </c>
      <c r="AB80" s="1">
        <f>$O80*[4]ölçme_sistemleri!J$13</f>
        <v>1</v>
      </c>
      <c r="AC80" s="1">
        <f>$O80*[4]ölçme_sistemleri!K$13</f>
        <v>2</v>
      </c>
      <c r="AD80" s="1">
        <f>$O80*[4]ölçme_sistemleri!L$13</f>
        <v>3</v>
      </c>
      <c r="AE80" s="1">
        <f t="shared" si="44"/>
        <v>0</v>
      </c>
      <c r="AF80" s="1">
        <f t="shared" si="45"/>
        <v>0</v>
      </c>
      <c r="AG80" s="1">
        <f t="shared" si="46"/>
        <v>0</v>
      </c>
      <c r="AH80" s="1">
        <f t="shared" si="47"/>
        <v>0</v>
      </c>
      <c r="AI80" s="1">
        <v>14</v>
      </c>
      <c r="AJ80" s="1">
        <f>VLOOKUP(X80,[4]ölçme_sistemleri!I:M,5,FALSE)</f>
        <v>0</v>
      </c>
      <c r="AK80" s="1">
        <f t="shared" si="48"/>
        <v>0</v>
      </c>
      <c r="AL80" s="1">
        <f>(Q80+S80)*AI80</f>
        <v>14</v>
      </c>
      <c r="AM80" s="1">
        <f>VLOOKUP(X80,[4]ölçme_sistemleri!I:N,6,FALSE)</f>
        <v>0</v>
      </c>
      <c r="AN80" s="1">
        <v>2</v>
      </c>
      <c r="AO80" s="1">
        <f t="shared" si="49"/>
        <v>0</v>
      </c>
      <c r="AP80" s="1">
        <v>14</v>
      </c>
      <c r="AQ80" s="1">
        <f t="shared" si="59"/>
        <v>14</v>
      </c>
      <c r="AR80" s="1">
        <f t="shared" si="50"/>
        <v>28</v>
      </c>
      <c r="AS80" s="1">
        <f>IF(BE80="s",25,25)</f>
        <v>25</v>
      </c>
      <c r="AT80" s="1">
        <f t="shared" si="51"/>
        <v>1</v>
      </c>
      <c r="AU80" s="1">
        <f t="shared" si="60"/>
        <v>0</v>
      </c>
      <c r="AV80" s="1">
        <f t="shared" si="61"/>
        <v>0</v>
      </c>
      <c r="AW80" s="1">
        <f t="shared" si="62"/>
        <v>0</v>
      </c>
      <c r="AX80" s="1">
        <f t="shared" si="63"/>
        <v>0</v>
      </c>
      <c r="AY80" s="1">
        <f t="shared" si="52"/>
        <v>-3</v>
      </c>
      <c r="AZ80" s="1">
        <f t="shared" si="64"/>
        <v>0</v>
      </c>
      <c r="BA80" s="1">
        <f t="shared" si="53"/>
        <v>-14</v>
      </c>
      <c r="BB80" s="1">
        <f t="shared" si="54"/>
        <v>0</v>
      </c>
      <c r="BC80" s="1">
        <f t="shared" si="55"/>
        <v>0</v>
      </c>
      <c r="BD80" s="1">
        <f t="shared" si="56"/>
        <v>0</v>
      </c>
      <c r="BE80" s="1" t="s">
        <v>65</v>
      </c>
      <c r="BF80" s="1">
        <f t="shared" si="65"/>
        <v>14</v>
      </c>
      <c r="BG80" s="1">
        <f t="shared" si="57"/>
        <v>14</v>
      </c>
      <c r="BH80" s="1">
        <f t="shared" si="58"/>
        <v>0</v>
      </c>
      <c r="BI80" s="1" t="e">
        <f>IF(BH80-#REF!=0,"DOĞRU","YANLIŞ")</f>
        <v>#REF!</v>
      </c>
      <c r="BJ80" s="1" t="e">
        <f>#REF!-BH80</f>
        <v>#REF!</v>
      </c>
      <c r="BK80" s="1">
        <v>0</v>
      </c>
      <c r="BM80" s="1">
        <v>0</v>
      </c>
      <c r="BO80" s="1">
        <v>0</v>
      </c>
      <c r="BT80" s="8">
        <f t="shared" si="66"/>
        <v>0</v>
      </c>
      <c r="BU80" s="9"/>
      <c r="BV80" s="10"/>
      <c r="BW80" s="11"/>
      <c r="BX80" s="11"/>
      <c r="BY80" s="11"/>
      <c r="BZ80" s="11"/>
      <c r="CA80" s="11"/>
      <c r="CB80" s="12"/>
      <c r="CC80" s="13"/>
      <c r="CD80" s="14"/>
      <c r="CL80" s="11"/>
      <c r="CM80" s="11"/>
      <c r="CN80" s="50"/>
      <c r="CO80" s="50"/>
      <c r="CP80" s="50"/>
      <c r="CQ80" s="51"/>
      <c r="CR80" s="46"/>
      <c r="CS80" s="53"/>
      <c r="CT80" s="53"/>
      <c r="CU80" s="53"/>
      <c r="CV80" s="53"/>
      <c r="CW80" s="49"/>
      <c r="CX80" s="49"/>
    </row>
    <row r="81" spans="1:102" hidden="1" x14ac:dyDescent="0.25">
      <c r="A81" s="1" t="s">
        <v>357</v>
      </c>
      <c r="B81" s="1" t="s">
        <v>358</v>
      </c>
      <c r="C81" s="1" t="s">
        <v>358</v>
      </c>
      <c r="D81" s="2" t="s">
        <v>63</v>
      </c>
      <c r="E81" s="2" t="s">
        <v>63</v>
      </c>
      <c r="F81" s="3" t="e">
        <f>IF(BE81="S",
IF(#REF!+BM81=2018,
IF(#REF!=1,"18-19/1",
IF(#REF!=2,"18-19/2",
IF(#REF!=3,"19-20/1",
IF(#REF!=4,"19-20/2",
IF(#REF!=5,"20-21/1",
IF(#REF!=6,"20-21/2",
IF(#REF!=7,"21-22/1",
IF(#REF!=8,"21-22/2","Hata1")))))))),
IF(#REF!+BM81=2019,
IF(#REF!=1,"19-20/1",
IF(#REF!=2,"19-20/2",
IF(#REF!=3,"20-21/1",
IF(#REF!=4,"20-21/2",
IF(#REF!=5,"21-22/1",
IF(#REF!=6,"21-22/2",
IF(#REF!=7,"22-23/1",
IF(#REF!=8,"22-23/2","Hata2")))))))),
IF(#REF!+BM81=2020,
IF(#REF!=1,"20-21/1",
IF(#REF!=2,"20-21/2",
IF(#REF!=3,"21-22/1",
IF(#REF!=4,"21-22/2",
IF(#REF!=5,"22-23/1",
IF(#REF!=6,"22-23/2",
IF(#REF!=7,"23-24/1",
IF(#REF!=8,"23-24/2","Hata3")))))))),
IF(#REF!+BM81=2021,
IF(#REF!=1,"21-22/1",
IF(#REF!=2,"21-22/2",
IF(#REF!=3,"22-23/1",
IF(#REF!=4,"22-23/2",
IF(#REF!=5,"23-24/1",
IF(#REF!=6,"23-24/2",
IF(#REF!=7,"24-25/1",
IF(#REF!=8,"24-25/2","Hata4")))))))),
IF(#REF!+BM81=2022,
IF(#REF!=1,"22-23/1",
IF(#REF!=2,"22-23/2",
IF(#REF!=3,"23-24/1",
IF(#REF!=4,"23-24/2",
IF(#REF!=5,"24-25/1",
IF(#REF!=6,"24-25/2",
IF(#REF!=7,"25-26/1",
IF(#REF!=8,"25-26/2","Hata5")))))))),
IF(#REF!+BM81=2023,
IF(#REF!=1,"23-24/1",
IF(#REF!=2,"23-24/2",
IF(#REF!=3,"24-25/1",
IF(#REF!=4,"24-25/2",
IF(#REF!=5,"25-26/1",
IF(#REF!=6,"25-26/2",
IF(#REF!=7,"26-27/1",
IF(#REF!=8,"26-27/2","Hata6")))))))),
)))))),
IF(BE81="T",
IF(#REF!+BM81=2018,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1" s="1" t="s">
        <v>78</v>
      </c>
      <c r="J81" s="1">
        <v>4234784</v>
      </c>
      <c r="L81" s="2">
        <v>4366</v>
      </c>
      <c r="N81" s="2">
        <v>1</v>
      </c>
      <c r="O81" s="6">
        <f t="shared" si="42"/>
        <v>1</v>
      </c>
      <c r="P81" s="2">
        <f t="shared" si="43"/>
        <v>1</v>
      </c>
      <c r="Q81" s="2">
        <v>1</v>
      </c>
      <c r="R81" s="2">
        <v>0</v>
      </c>
      <c r="S81" s="2">
        <v>0</v>
      </c>
      <c r="X81" s="3">
        <v>0</v>
      </c>
      <c r="Y81" s="1">
        <f>VLOOKUP(X81,[4]ölçme_sistemleri!I:L,2,FALSE)</f>
        <v>0</v>
      </c>
      <c r="Z81" s="1">
        <f>VLOOKUP(X81,[4]ölçme_sistemleri!I:L,3,FALSE)</f>
        <v>0</v>
      </c>
      <c r="AA81" s="1">
        <f>VLOOKUP(X81,[4]ölçme_sistemleri!I:L,4,FALSE)</f>
        <v>0</v>
      </c>
      <c r="AB81" s="1">
        <f>$O81*[4]ölçme_sistemleri!J$13</f>
        <v>1</v>
      </c>
      <c r="AC81" s="1">
        <f>$O81*[4]ölçme_sistemleri!K$13</f>
        <v>2</v>
      </c>
      <c r="AD81" s="1">
        <f>$O81*[4]ölçme_sistemleri!L$13</f>
        <v>3</v>
      </c>
      <c r="AE81" s="1">
        <f t="shared" si="44"/>
        <v>0</v>
      </c>
      <c r="AF81" s="1">
        <f t="shared" si="45"/>
        <v>0</v>
      </c>
      <c r="AG81" s="1">
        <f t="shared" si="46"/>
        <v>0</v>
      </c>
      <c r="AH81" s="1">
        <f t="shared" si="47"/>
        <v>0</v>
      </c>
      <c r="AI81" s="1">
        <v>14</v>
      </c>
      <c r="AJ81" s="1">
        <f>VLOOKUP(X81,[4]ölçme_sistemleri!I:M,5,FALSE)</f>
        <v>0</v>
      </c>
      <c r="AK81" s="1">
        <f t="shared" si="48"/>
        <v>0</v>
      </c>
      <c r="AL81" s="1">
        <f>(Q81+S81)*AI81</f>
        <v>14</v>
      </c>
      <c r="AM81" s="1">
        <f>VLOOKUP(X81,[4]ölçme_sistemleri!I:N,6,FALSE)</f>
        <v>0</v>
      </c>
      <c r="AN81" s="1">
        <v>2</v>
      </c>
      <c r="AO81" s="1">
        <f t="shared" si="49"/>
        <v>0</v>
      </c>
      <c r="AP81" s="1">
        <v>14</v>
      </c>
      <c r="AQ81" s="1">
        <f t="shared" si="59"/>
        <v>14</v>
      </c>
      <c r="AR81" s="1">
        <f t="shared" si="50"/>
        <v>28</v>
      </c>
      <c r="AS81" s="1">
        <f>IF(BE81="s",25,25)</f>
        <v>25</v>
      </c>
      <c r="AT81" s="1">
        <f t="shared" si="51"/>
        <v>1</v>
      </c>
      <c r="AU81" s="1">
        <f t="shared" si="60"/>
        <v>0</v>
      </c>
      <c r="AV81" s="1">
        <f t="shared" si="61"/>
        <v>0</v>
      </c>
      <c r="AW81" s="1">
        <f t="shared" si="62"/>
        <v>0</v>
      </c>
      <c r="AX81" s="1">
        <f t="shared" si="63"/>
        <v>0</v>
      </c>
      <c r="AY81" s="1">
        <f t="shared" si="52"/>
        <v>-3</v>
      </c>
      <c r="AZ81" s="1">
        <f t="shared" si="64"/>
        <v>0</v>
      </c>
      <c r="BA81" s="1">
        <f t="shared" si="53"/>
        <v>-14</v>
      </c>
      <c r="BB81" s="1">
        <f t="shared" si="54"/>
        <v>0</v>
      </c>
      <c r="BC81" s="1">
        <f t="shared" si="55"/>
        <v>0</v>
      </c>
      <c r="BD81" s="1">
        <f t="shared" si="56"/>
        <v>0</v>
      </c>
      <c r="BE81" s="1" t="s">
        <v>65</v>
      </c>
      <c r="BF81" s="1">
        <f t="shared" si="65"/>
        <v>14</v>
      </c>
      <c r="BG81" s="1">
        <f t="shared" si="57"/>
        <v>14</v>
      </c>
      <c r="BH81" s="1">
        <f t="shared" si="58"/>
        <v>0</v>
      </c>
      <c r="BI81" s="1" t="e">
        <f>IF(BH81-#REF!=0,"DOĞRU","YANLIŞ")</f>
        <v>#REF!</v>
      </c>
      <c r="BJ81" s="1" t="e">
        <f>#REF!-BH81</f>
        <v>#REF!</v>
      </c>
      <c r="BK81" s="1">
        <v>0</v>
      </c>
      <c r="BM81" s="1">
        <v>0</v>
      </c>
      <c r="BO81" s="1">
        <v>0</v>
      </c>
      <c r="BT81" s="8">
        <f t="shared" si="66"/>
        <v>0</v>
      </c>
      <c r="BU81" s="9"/>
      <c r="BV81" s="10"/>
      <c r="BW81" s="11"/>
      <c r="BX81" s="11"/>
      <c r="BY81" s="11"/>
      <c r="BZ81" s="11"/>
      <c r="CA81" s="11"/>
      <c r="CB81" s="12"/>
      <c r="CC81" s="13"/>
      <c r="CD81" s="14"/>
      <c r="CL81" s="11"/>
      <c r="CM81" s="11"/>
      <c r="CN81" s="50"/>
      <c r="CO81" s="50"/>
      <c r="CP81" s="50"/>
      <c r="CQ81" s="51"/>
      <c r="CR81" s="57"/>
      <c r="CS81" s="54"/>
      <c r="CT81" s="54"/>
      <c r="CU81" s="54"/>
      <c r="CV81" s="54"/>
      <c r="CW81" s="54"/>
      <c r="CX81" s="49"/>
    </row>
    <row r="82" spans="1:102" hidden="1" x14ac:dyDescent="0.25">
      <c r="A82" s="1" t="s">
        <v>156</v>
      </c>
      <c r="B82" s="1" t="s">
        <v>157</v>
      </c>
      <c r="C82" s="1" t="s">
        <v>157</v>
      </c>
      <c r="D82" s="2" t="s">
        <v>63</v>
      </c>
      <c r="E82" s="2" t="s">
        <v>63</v>
      </c>
      <c r="F82" s="3" t="e">
        <f>IF(BE82="S",
IF(#REF!+BM82=2018,
IF(#REF!=1,"18-19/1",
IF(#REF!=2,"18-19/2",
IF(#REF!=3,"19-20/1",
IF(#REF!=4,"19-20/2",
IF(#REF!=5,"20-21/1",
IF(#REF!=6,"20-21/2",
IF(#REF!=7,"21-22/1",
IF(#REF!=8,"21-22/2","Hata1")))))))),
IF(#REF!+BM82=2019,
IF(#REF!=1,"19-20/1",
IF(#REF!=2,"19-20/2",
IF(#REF!=3,"20-21/1",
IF(#REF!=4,"20-21/2",
IF(#REF!=5,"21-22/1",
IF(#REF!=6,"21-22/2",
IF(#REF!=7,"22-23/1",
IF(#REF!=8,"22-23/2","Hata2")))))))),
IF(#REF!+BM82=2020,
IF(#REF!=1,"20-21/1",
IF(#REF!=2,"20-21/2",
IF(#REF!=3,"21-22/1",
IF(#REF!=4,"21-22/2",
IF(#REF!=5,"22-23/1",
IF(#REF!=6,"22-23/2",
IF(#REF!=7,"23-24/1",
IF(#REF!=8,"23-24/2","Hata3")))))))),
IF(#REF!+BM82=2021,
IF(#REF!=1,"21-22/1",
IF(#REF!=2,"21-22/2",
IF(#REF!=3,"22-23/1",
IF(#REF!=4,"22-23/2",
IF(#REF!=5,"23-24/1",
IF(#REF!=6,"23-24/2",
IF(#REF!=7,"24-25/1",
IF(#REF!=8,"24-25/2","Hata4")))))))),
IF(#REF!+BM82=2022,
IF(#REF!=1,"22-23/1",
IF(#REF!=2,"22-23/2",
IF(#REF!=3,"23-24/1",
IF(#REF!=4,"23-24/2",
IF(#REF!=5,"24-25/1",
IF(#REF!=6,"24-25/2",
IF(#REF!=7,"25-26/1",
IF(#REF!=8,"25-26/2","Hata5")))))))),
IF(#REF!+BM82=2023,
IF(#REF!=1,"23-24/1",
IF(#REF!=2,"23-24/2",
IF(#REF!=3,"24-25/1",
IF(#REF!=4,"24-25/2",
IF(#REF!=5,"25-26/1",
IF(#REF!=6,"25-26/2",
IF(#REF!=7,"26-27/1",
IF(#REF!=8,"26-27/2","Hata6")))))))),
)))))),
IF(BE82="T",
IF(#REF!+BM82=2018,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2" s="1" t="s">
        <v>78</v>
      </c>
      <c r="J82" s="1">
        <v>4234784</v>
      </c>
      <c r="L82" s="2">
        <v>3530</v>
      </c>
      <c r="N82" s="2">
        <v>5</v>
      </c>
      <c r="O82" s="6">
        <f t="shared" si="42"/>
        <v>2.5</v>
      </c>
      <c r="P82" s="2">
        <f t="shared" si="43"/>
        <v>3</v>
      </c>
      <c r="Q82" s="2">
        <v>2</v>
      </c>
      <c r="R82" s="2">
        <v>1</v>
      </c>
      <c r="S82" s="2">
        <v>0</v>
      </c>
      <c r="X82" s="3">
        <v>3</v>
      </c>
      <c r="Y82" s="1">
        <f>VLOOKUP(X82,[13]ölçme_sistemleri!I:L,2,FALSE)</f>
        <v>2</v>
      </c>
      <c r="Z82" s="1">
        <f>VLOOKUP(X82,[13]ölçme_sistemleri!I:L,3,FALSE)</f>
        <v>1</v>
      </c>
      <c r="AA82" s="1">
        <f>VLOOKUP(X82,[13]ölçme_sistemleri!I:L,4,FALSE)</f>
        <v>1</v>
      </c>
      <c r="AB82" s="1">
        <f>$O82*[13]ölçme_sistemleri!J$13</f>
        <v>2.5</v>
      </c>
      <c r="AC82" s="1">
        <f>$O82*[13]ölçme_sistemleri!K$13</f>
        <v>5</v>
      </c>
      <c r="AD82" s="1">
        <f>$O82*[13]ölçme_sistemleri!L$13</f>
        <v>7.5</v>
      </c>
      <c r="AE82" s="1">
        <f t="shared" si="44"/>
        <v>5</v>
      </c>
      <c r="AF82" s="1">
        <f t="shared" si="45"/>
        <v>5</v>
      </c>
      <c r="AG82" s="1">
        <f t="shared" si="46"/>
        <v>7.5</v>
      </c>
      <c r="AH82" s="1">
        <f t="shared" si="47"/>
        <v>17.5</v>
      </c>
      <c r="AI82" s="1">
        <v>14</v>
      </c>
      <c r="AJ82" s="1">
        <f>VLOOKUP(X82,[13]ölçme_sistemleri!I:M,5,FALSE)</f>
        <v>3</v>
      </c>
      <c r="AK82" s="1">
        <f t="shared" si="48"/>
        <v>245</v>
      </c>
      <c r="AL82" s="1">
        <f>AI82*4</f>
        <v>56</v>
      </c>
      <c r="AM82" s="1">
        <f>VLOOKUP(X82,[13]ölçme_sistemleri!I:N,6,FALSE)</f>
        <v>4</v>
      </c>
      <c r="AN82" s="1">
        <v>2</v>
      </c>
      <c r="AO82" s="1">
        <f t="shared" si="49"/>
        <v>8</v>
      </c>
      <c r="AP82" s="1">
        <v>14</v>
      </c>
      <c r="AQ82" s="1">
        <f t="shared" si="59"/>
        <v>42</v>
      </c>
      <c r="AR82" s="1">
        <f t="shared" si="50"/>
        <v>123.5</v>
      </c>
      <c r="AS82" s="1">
        <f t="shared" ref="AS82:AS88" si="68">IF(BE82="s",25,30)</f>
        <v>25</v>
      </c>
      <c r="AT82" s="1">
        <f t="shared" si="51"/>
        <v>5</v>
      </c>
      <c r="AU82" s="1">
        <f t="shared" si="60"/>
        <v>0</v>
      </c>
      <c r="AV82" s="1">
        <f t="shared" si="61"/>
        <v>0</v>
      </c>
      <c r="AW82" s="1">
        <f t="shared" si="62"/>
        <v>0</v>
      </c>
      <c r="AX82" s="1">
        <f t="shared" si="63"/>
        <v>0</v>
      </c>
      <c r="AY82" s="1">
        <f t="shared" si="52"/>
        <v>-17.5</v>
      </c>
      <c r="AZ82" s="1">
        <f t="shared" si="64"/>
        <v>0</v>
      </c>
      <c r="BA82" s="1">
        <f t="shared" si="53"/>
        <v>-56</v>
      </c>
      <c r="BB82" s="1">
        <f t="shared" si="54"/>
        <v>0</v>
      </c>
      <c r="BC82" s="1">
        <f t="shared" si="55"/>
        <v>-8</v>
      </c>
      <c r="BD82" s="1">
        <f t="shared" si="56"/>
        <v>0</v>
      </c>
      <c r="BE82" s="1" t="s">
        <v>65</v>
      </c>
      <c r="BF82" s="1">
        <f t="shared" si="65"/>
        <v>35</v>
      </c>
      <c r="BG82" s="1">
        <f t="shared" si="57"/>
        <v>35</v>
      </c>
      <c r="BH82" s="1">
        <f t="shared" si="58"/>
        <v>1</v>
      </c>
      <c r="BI82" s="1" t="e">
        <f>IF(BH82-#REF!=0,"DOĞRU","YANLIŞ")</f>
        <v>#REF!</v>
      </c>
      <c r="BJ82" s="1" t="e">
        <f>#REF!-BH82</f>
        <v>#REF!</v>
      </c>
      <c r="BK82" s="1">
        <v>0</v>
      </c>
      <c r="BM82" s="1">
        <v>0</v>
      </c>
      <c r="BO82" s="1">
        <v>2</v>
      </c>
      <c r="BT82" s="8">
        <f t="shared" si="66"/>
        <v>14</v>
      </c>
      <c r="BU82" s="9"/>
      <c r="BV82" s="10"/>
      <c r="BW82" s="11"/>
      <c r="BX82" s="11"/>
      <c r="BY82" s="11"/>
      <c r="BZ82" s="11"/>
      <c r="CA82" s="11"/>
      <c r="CB82" s="12"/>
      <c r="CC82" s="13"/>
      <c r="CD82" s="14"/>
      <c r="CL82" s="11"/>
      <c r="CM82" s="11"/>
      <c r="CN82" s="50"/>
      <c r="CO82" s="50"/>
      <c r="CP82" s="50"/>
      <c r="CQ82" s="51"/>
      <c r="CR82" s="57"/>
      <c r="CS82" s="54"/>
      <c r="CT82" s="54"/>
      <c r="CU82" s="54"/>
      <c r="CV82" s="54"/>
      <c r="CW82" s="54"/>
      <c r="CX82" s="49"/>
    </row>
    <row r="83" spans="1:102" hidden="1" x14ac:dyDescent="0.25">
      <c r="A83" s="1" t="s">
        <v>85</v>
      </c>
      <c r="B83" s="1" t="s">
        <v>86</v>
      </c>
      <c r="C83" s="1" t="s">
        <v>86</v>
      </c>
      <c r="D83" s="2" t="s">
        <v>63</v>
      </c>
      <c r="E83" s="2" t="s">
        <v>63</v>
      </c>
      <c r="F83" s="3" t="e">
        <f>IF(BE83="S",
IF(#REF!+BM83=2018,
IF(#REF!=1,"18-19/1",
IF(#REF!=2,"18-19/2",
IF(#REF!=3,"19-20/1",
IF(#REF!=4,"19-20/2",
IF(#REF!=5,"20-21/1",
IF(#REF!=6,"20-21/2",
IF(#REF!=7,"21-22/1",
IF(#REF!=8,"21-22/2","Hata1")))))))),
IF(#REF!+BM83=2019,
IF(#REF!=1,"19-20/1",
IF(#REF!=2,"19-20/2",
IF(#REF!=3,"20-21/1",
IF(#REF!=4,"20-21/2",
IF(#REF!=5,"21-22/1",
IF(#REF!=6,"21-22/2",
IF(#REF!=7,"22-23/1",
IF(#REF!=8,"22-23/2","Hata2")))))))),
IF(#REF!+BM83=2020,
IF(#REF!=1,"20-21/1",
IF(#REF!=2,"20-21/2",
IF(#REF!=3,"21-22/1",
IF(#REF!=4,"21-22/2",
IF(#REF!=5,"22-23/1",
IF(#REF!=6,"22-23/2",
IF(#REF!=7,"23-24/1",
IF(#REF!=8,"23-24/2","Hata3")))))))),
IF(#REF!+BM83=2021,
IF(#REF!=1,"21-22/1",
IF(#REF!=2,"21-22/2",
IF(#REF!=3,"22-23/1",
IF(#REF!=4,"22-23/2",
IF(#REF!=5,"23-24/1",
IF(#REF!=6,"23-24/2",
IF(#REF!=7,"24-25/1",
IF(#REF!=8,"24-25/2","Hata4")))))))),
IF(#REF!+BM83=2022,
IF(#REF!=1,"22-23/1",
IF(#REF!=2,"22-23/2",
IF(#REF!=3,"23-24/1",
IF(#REF!=4,"23-24/2",
IF(#REF!=5,"24-25/1",
IF(#REF!=6,"24-25/2",
IF(#REF!=7,"25-26/1",
IF(#REF!=8,"25-26/2","Hata5")))))))),
IF(#REF!+BM83=2023,
IF(#REF!=1,"23-24/1",
IF(#REF!=2,"23-24/2",
IF(#REF!=3,"24-25/1",
IF(#REF!=4,"24-25/2",
IF(#REF!=5,"25-26/1",
IF(#REF!=6,"25-26/2",
IF(#REF!=7,"26-27/1",
IF(#REF!=8,"26-27/2","Hata6")))))))),
)))))),
IF(BE83="T",
IF(#REF!+BM83=2018,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3" s="1" t="s">
        <v>78</v>
      </c>
      <c r="J83" s="1">
        <v>4234784</v>
      </c>
      <c r="L83" s="2">
        <v>3429</v>
      </c>
      <c r="N83" s="2">
        <v>5</v>
      </c>
      <c r="O83" s="6">
        <f t="shared" si="42"/>
        <v>3</v>
      </c>
      <c r="P83" s="2">
        <f t="shared" si="43"/>
        <v>3</v>
      </c>
      <c r="Q83" s="2">
        <v>3</v>
      </c>
      <c r="R83" s="2">
        <v>0</v>
      </c>
      <c r="S83" s="2">
        <v>0</v>
      </c>
      <c r="X83" s="3">
        <v>3</v>
      </c>
      <c r="Y83" s="1">
        <f>VLOOKUP(X83,[12]ölçme_sistemleri!I:L,2,FALSE)</f>
        <v>2</v>
      </c>
      <c r="Z83" s="1">
        <f>VLOOKUP(X83,[12]ölçme_sistemleri!I:L,3,FALSE)</f>
        <v>1</v>
      </c>
      <c r="AA83" s="1">
        <f>VLOOKUP(X83,[12]ölçme_sistemleri!I:L,4,FALSE)</f>
        <v>1</v>
      </c>
      <c r="AB83" s="1">
        <f>$O83*[12]ölçme_sistemleri!J$13</f>
        <v>3</v>
      </c>
      <c r="AC83" s="1">
        <f>$O83*[12]ölçme_sistemleri!K$13</f>
        <v>6</v>
      </c>
      <c r="AD83" s="1">
        <f>$O83*[12]ölçme_sistemleri!L$13</f>
        <v>9</v>
      </c>
      <c r="AE83" s="1">
        <f t="shared" si="44"/>
        <v>6</v>
      </c>
      <c r="AF83" s="1">
        <f t="shared" si="45"/>
        <v>6</v>
      </c>
      <c r="AG83" s="1">
        <f t="shared" si="46"/>
        <v>9</v>
      </c>
      <c r="AH83" s="1">
        <f t="shared" si="47"/>
        <v>21</v>
      </c>
      <c r="AI83" s="1">
        <v>14</v>
      </c>
      <c r="AJ83" s="1">
        <f>VLOOKUP(X83,[12]ölçme_sistemleri!I:M,5,FALSE)</f>
        <v>3</v>
      </c>
      <c r="AK83" s="1">
        <f t="shared" si="48"/>
        <v>294</v>
      </c>
      <c r="AL83" s="1">
        <f>(Q83+S83)*AI83</f>
        <v>42</v>
      </c>
      <c r="AM83" s="1">
        <f>VLOOKUP(X83,[12]ölçme_sistemleri!I:N,6,FALSE)</f>
        <v>4</v>
      </c>
      <c r="AN83" s="1">
        <v>2</v>
      </c>
      <c r="AO83" s="1">
        <f t="shared" si="49"/>
        <v>8</v>
      </c>
      <c r="AP83" s="1">
        <v>14</v>
      </c>
      <c r="AQ83" s="1">
        <f t="shared" si="59"/>
        <v>42</v>
      </c>
      <c r="AR83" s="1">
        <f t="shared" si="50"/>
        <v>113</v>
      </c>
      <c r="AS83" s="1">
        <f t="shared" si="68"/>
        <v>25</v>
      </c>
      <c r="AT83" s="1">
        <f t="shared" si="51"/>
        <v>5</v>
      </c>
      <c r="AU83" s="1">
        <f t="shared" si="60"/>
        <v>0</v>
      </c>
      <c r="AV83" s="1">
        <f t="shared" si="61"/>
        <v>0</v>
      </c>
      <c r="AW83" s="1">
        <f t="shared" si="62"/>
        <v>0</v>
      </c>
      <c r="AX83" s="1">
        <f t="shared" si="63"/>
        <v>0</v>
      </c>
      <c r="AY83" s="1">
        <f t="shared" si="52"/>
        <v>-21</v>
      </c>
      <c r="AZ83" s="1">
        <f t="shared" si="64"/>
        <v>0</v>
      </c>
      <c r="BA83" s="1">
        <f t="shared" si="53"/>
        <v>-42</v>
      </c>
      <c r="BB83" s="1">
        <f t="shared" si="54"/>
        <v>0</v>
      </c>
      <c r="BC83" s="1">
        <f t="shared" si="55"/>
        <v>-8</v>
      </c>
      <c r="BD83" s="1">
        <f t="shared" si="56"/>
        <v>0</v>
      </c>
      <c r="BE83" s="1" t="s">
        <v>65</v>
      </c>
      <c r="BF83" s="1">
        <f t="shared" si="65"/>
        <v>42</v>
      </c>
      <c r="BG83" s="1">
        <f t="shared" si="57"/>
        <v>42</v>
      </c>
      <c r="BH83" s="1">
        <f t="shared" si="58"/>
        <v>1</v>
      </c>
      <c r="BI83" s="1" t="e">
        <f>IF(BH83-#REF!=0,"DOĞRU","YANLIŞ")</f>
        <v>#REF!</v>
      </c>
      <c r="BJ83" s="1" t="e">
        <f>#REF!-BH83</f>
        <v>#REF!</v>
      </c>
      <c r="BK83" s="1">
        <v>0</v>
      </c>
      <c r="BM83" s="1">
        <v>0</v>
      </c>
      <c r="BO83" s="1">
        <v>4</v>
      </c>
      <c r="BT83" s="8">
        <f t="shared" si="66"/>
        <v>0</v>
      </c>
      <c r="BU83" s="9"/>
      <c r="BV83" s="10"/>
      <c r="BW83" s="11"/>
      <c r="BX83" s="11"/>
      <c r="BY83" s="11"/>
      <c r="BZ83" s="11"/>
      <c r="CA83" s="11"/>
      <c r="CB83" s="12"/>
      <c r="CC83" s="13"/>
      <c r="CD83" s="14"/>
      <c r="CL83" s="11"/>
      <c r="CM83" s="11"/>
      <c r="CN83" s="11"/>
      <c r="CO83" s="11"/>
      <c r="CP83" s="11"/>
      <c r="CQ83" s="46"/>
      <c r="CR83" s="46"/>
      <c r="CS83" s="46"/>
      <c r="CT83" s="46"/>
      <c r="CU83" s="46"/>
      <c r="CV83" s="46"/>
      <c r="CW83" s="46"/>
      <c r="CX83" s="46"/>
    </row>
    <row r="84" spans="1:102" hidden="1" x14ac:dyDescent="0.25">
      <c r="A84" s="1" t="s">
        <v>161</v>
      </c>
      <c r="B84" s="1" t="s">
        <v>162</v>
      </c>
      <c r="C84" s="1" t="s">
        <v>162</v>
      </c>
      <c r="D84" s="2" t="s">
        <v>63</v>
      </c>
      <c r="E84" s="2" t="s">
        <v>63</v>
      </c>
      <c r="F84" s="3" t="e">
        <f>IF(BE84="S",
IF(#REF!+BM84=2018,
IF(#REF!=1,"18-19/1",
IF(#REF!=2,"18-19/2",
IF(#REF!=3,"19-20/1",
IF(#REF!=4,"19-20/2",
IF(#REF!=5,"20-21/1",
IF(#REF!=6,"20-21/2",
IF(#REF!=7,"21-22/1",
IF(#REF!=8,"21-22/2","Hata1")))))))),
IF(#REF!+BM84=2019,
IF(#REF!=1,"19-20/1",
IF(#REF!=2,"19-20/2",
IF(#REF!=3,"20-21/1",
IF(#REF!=4,"20-21/2",
IF(#REF!=5,"21-22/1",
IF(#REF!=6,"21-22/2",
IF(#REF!=7,"22-23/1",
IF(#REF!=8,"22-23/2","Hata2")))))))),
IF(#REF!+BM84=2020,
IF(#REF!=1,"20-21/1",
IF(#REF!=2,"20-21/2",
IF(#REF!=3,"21-22/1",
IF(#REF!=4,"21-22/2",
IF(#REF!=5,"22-23/1",
IF(#REF!=6,"22-23/2",
IF(#REF!=7,"23-24/1",
IF(#REF!=8,"23-24/2","Hata3")))))))),
IF(#REF!+BM84=2021,
IF(#REF!=1,"21-22/1",
IF(#REF!=2,"21-22/2",
IF(#REF!=3,"22-23/1",
IF(#REF!=4,"22-23/2",
IF(#REF!=5,"23-24/1",
IF(#REF!=6,"23-24/2",
IF(#REF!=7,"24-25/1",
IF(#REF!=8,"24-25/2","Hata4")))))))),
IF(#REF!+BM84=2022,
IF(#REF!=1,"22-23/1",
IF(#REF!=2,"22-23/2",
IF(#REF!=3,"23-24/1",
IF(#REF!=4,"23-24/2",
IF(#REF!=5,"24-25/1",
IF(#REF!=6,"24-25/2",
IF(#REF!=7,"25-26/1",
IF(#REF!=8,"25-26/2","Hata5")))))))),
IF(#REF!+BM84=2023,
IF(#REF!=1,"23-24/1",
IF(#REF!=2,"23-24/2",
IF(#REF!=3,"24-25/1",
IF(#REF!=4,"24-25/2",
IF(#REF!=5,"25-26/1",
IF(#REF!=6,"25-26/2",
IF(#REF!=7,"26-27/1",
IF(#REF!=8,"26-27/2","Hata6")))))))),
)))))),
IF(BE84="T",
IF(#REF!+BM84=2018,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4" s="1" t="s">
        <v>78</v>
      </c>
      <c r="J84" s="1">
        <v>4234784</v>
      </c>
      <c r="L84" s="2">
        <v>3509</v>
      </c>
      <c r="N84" s="2">
        <v>6</v>
      </c>
      <c r="O84" s="6">
        <f t="shared" si="42"/>
        <v>3</v>
      </c>
      <c r="P84" s="2">
        <f t="shared" si="43"/>
        <v>3</v>
      </c>
      <c r="Q84" s="2">
        <v>0</v>
      </c>
      <c r="R84" s="2">
        <v>0</v>
      </c>
      <c r="S84" s="2">
        <v>3</v>
      </c>
      <c r="X84" s="3">
        <v>2</v>
      </c>
      <c r="Y84" s="1">
        <f>VLOOKUP(X84,[13]ölçme_sistemleri!I:L,2,FALSE)</f>
        <v>0</v>
      </c>
      <c r="Z84" s="1">
        <f>VLOOKUP(X84,[13]ölçme_sistemleri!I:L,3,FALSE)</f>
        <v>2</v>
      </c>
      <c r="AA84" s="1">
        <f>VLOOKUP(X84,[13]ölçme_sistemleri!I:L,4,FALSE)</f>
        <v>1</v>
      </c>
      <c r="AB84" s="1">
        <f>$O84*[13]ölçme_sistemleri!J$13</f>
        <v>3</v>
      </c>
      <c r="AC84" s="1">
        <f>$O84*[13]ölçme_sistemleri!K$13</f>
        <v>6</v>
      </c>
      <c r="AD84" s="1">
        <f>$O84*[13]ölçme_sistemleri!L$13</f>
        <v>9</v>
      </c>
      <c r="AE84" s="1">
        <f t="shared" si="44"/>
        <v>0</v>
      </c>
      <c r="AF84" s="1">
        <f t="shared" si="45"/>
        <v>12</v>
      </c>
      <c r="AG84" s="1">
        <f t="shared" si="46"/>
        <v>9</v>
      </c>
      <c r="AH84" s="1">
        <f t="shared" si="47"/>
        <v>21</v>
      </c>
      <c r="AI84" s="1">
        <v>14</v>
      </c>
      <c r="AJ84" s="1">
        <f>VLOOKUP(X84,[13]ölçme_sistemleri!I:M,5,FALSE)</f>
        <v>2</v>
      </c>
      <c r="AK84" s="1">
        <f t="shared" si="48"/>
        <v>294</v>
      </c>
      <c r="AL84" s="1">
        <f>AI84*6</f>
        <v>84</v>
      </c>
      <c r="AM84" s="1">
        <f>VLOOKUP(X84,[13]ölçme_sistemleri!I:N,6,FALSE)</f>
        <v>3</v>
      </c>
      <c r="AN84" s="1">
        <v>2</v>
      </c>
      <c r="AO84" s="1">
        <f t="shared" si="49"/>
        <v>6</v>
      </c>
      <c r="AP84" s="1">
        <v>14</v>
      </c>
      <c r="AQ84" s="1">
        <f t="shared" si="59"/>
        <v>42</v>
      </c>
      <c r="AR84" s="1">
        <f t="shared" si="50"/>
        <v>153</v>
      </c>
      <c r="AS84" s="1">
        <f t="shared" si="68"/>
        <v>25</v>
      </c>
      <c r="AT84" s="1">
        <f t="shared" si="51"/>
        <v>6</v>
      </c>
      <c r="AU84" s="1">
        <f t="shared" si="60"/>
        <v>0</v>
      </c>
      <c r="AV84" s="1">
        <f t="shared" si="61"/>
        <v>0</v>
      </c>
      <c r="AW84" s="1">
        <f t="shared" si="62"/>
        <v>0</v>
      </c>
      <c r="AX84" s="1">
        <f t="shared" si="63"/>
        <v>0</v>
      </c>
      <c r="AY84" s="1">
        <f t="shared" si="52"/>
        <v>-21</v>
      </c>
      <c r="AZ84" s="1">
        <f t="shared" si="64"/>
        <v>0</v>
      </c>
      <c r="BA84" s="1">
        <f t="shared" si="53"/>
        <v>-84</v>
      </c>
      <c r="BB84" s="1">
        <f t="shared" si="54"/>
        <v>0</v>
      </c>
      <c r="BC84" s="1">
        <f t="shared" si="55"/>
        <v>-6</v>
      </c>
      <c r="BD84" s="1">
        <f t="shared" si="56"/>
        <v>0</v>
      </c>
      <c r="BE84" s="1" t="s">
        <v>65</v>
      </c>
      <c r="BF84" s="1">
        <f t="shared" si="65"/>
        <v>42</v>
      </c>
      <c r="BG84" s="1">
        <f t="shared" si="57"/>
        <v>42</v>
      </c>
      <c r="BH84" s="1">
        <f t="shared" si="58"/>
        <v>1</v>
      </c>
      <c r="BI84" s="1" t="e">
        <f>IF(BH84-#REF!=0,"DOĞRU","YANLIŞ")</f>
        <v>#REF!</v>
      </c>
      <c r="BJ84" s="1" t="e">
        <f>#REF!-BH84</f>
        <v>#REF!</v>
      </c>
      <c r="BK84" s="1">
        <v>0</v>
      </c>
      <c r="BM84" s="1">
        <v>0</v>
      </c>
      <c r="BO84" s="1">
        <v>3</v>
      </c>
      <c r="BT84" s="8">
        <f t="shared" si="66"/>
        <v>0</v>
      </c>
      <c r="BU84" s="9"/>
      <c r="BV84" s="10"/>
      <c r="BW84" s="11"/>
      <c r="BX84" s="11"/>
      <c r="BY84" s="11"/>
      <c r="BZ84" s="11"/>
      <c r="CA84" s="11"/>
      <c r="CB84" s="12"/>
      <c r="CC84" s="13"/>
      <c r="CD84" s="14"/>
      <c r="CL84" s="11"/>
      <c r="CM84" s="50"/>
      <c r="CN84" s="50"/>
      <c r="CO84" s="50"/>
      <c r="CP84" s="50"/>
      <c r="CQ84" s="51"/>
      <c r="CR84" s="57"/>
      <c r="CS84" s="49"/>
      <c r="CT84" s="53"/>
      <c r="CU84" s="53"/>
      <c r="CV84" s="53"/>
      <c r="CW84" s="49"/>
      <c r="CX84" s="49"/>
    </row>
    <row r="85" spans="1:102" hidden="1" x14ac:dyDescent="0.25">
      <c r="A85" s="1" t="s">
        <v>152</v>
      </c>
      <c r="B85" s="1" t="s">
        <v>153</v>
      </c>
      <c r="C85" s="1" t="s">
        <v>153</v>
      </c>
      <c r="D85" s="2" t="s">
        <v>63</v>
      </c>
      <c r="E85" s="2" t="s">
        <v>63</v>
      </c>
      <c r="F85" s="3" t="e">
        <f>IF(BE85="S",
IF(#REF!+BM85=2018,
IF(#REF!=1,"18-19/1",
IF(#REF!=2,"18-19/2",
IF(#REF!=3,"19-20/1",
IF(#REF!=4,"19-20/2",
IF(#REF!=5,"20-21/1",
IF(#REF!=6,"20-21/2",
IF(#REF!=7,"21-22/1",
IF(#REF!=8,"21-22/2","Hata1")))))))),
IF(#REF!+BM85=2019,
IF(#REF!=1,"19-20/1",
IF(#REF!=2,"19-20/2",
IF(#REF!=3,"20-21/1",
IF(#REF!=4,"20-21/2",
IF(#REF!=5,"21-22/1",
IF(#REF!=6,"21-22/2",
IF(#REF!=7,"22-23/1",
IF(#REF!=8,"22-23/2","Hata2")))))))),
IF(#REF!+BM85=2020,
IF(#REF!=1,"20-21/1",
IF(#REF!=2,"20-21/2",
IF(#REF!=3,"21-22/1",
IF(#REF!=4,"21-22/2",
IF(#REF!=5,"22-23/1",
IF(#REF!=6,"22-23/2",
IF(#REF!=7,"23-24/1",
IF(#REF!=8,"23-24/2","Hata3")))))))),
IF(#REF!+BM85=2021,
IF(#REF!=1,"21-22/1",
IF(#REF!=2,"21-22/2",
IF(#REF!=3,"22-23/1",
IF(#REF!=4,"22-23/2",
IF(#REF!=5,"23-24/1",
IF(#REF!=6,"23-24/2",
IF(#REF!=7,"24-25/1",
IF(#REF!=8,"24-25/2","Hata4")))))))),
IF(#REF!+BM85=2022,
IF(#REF!=1,"22-23/1",
IF(#REF!=2,"22-23/2",
IF(#REF!=3,"23-24/1",
IF(#REF!=4,"23-24/2",
IF(#REF!=5,"24-25/1",
IF(#REF!=6,"24-25/2",
IF(#REF!=7,"25-26/1",
IF(#REF!=8,"25-26/2","Hata5")))))))),
IF(#REF!+BM85=2023,
IF(#REF!=1,"23-24/1",
IF(#REF!=2,"23-24/2",
IF(#REF!=3,"24-25/1",
IF(#REF!=4,"24-25/2",
IF(#REF!=5,"25-26/1",
IF(#REF!=6,"25-26/2",
IF(#REF!=7,"26-27/1",
IF(#REF!=8,"26-27/2","Hata6")))))))),
)))))),
IF(BE85="T",
IF(#REF!+BM85=2018,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5" s="1" t="s">
        <v>78</v>
      </c>
      <c r="J85" s="1">
        <v>4234784</v>
      </c>
      <c r="L85" s="2">
        <v>3453</v>
      </c>
      <c r="N85" s="2">
        <v>5</v>
      </c>
      <c r="O85" s="6">
        <f t="shared" si="42"/>
        <v>2.5</v>
      </c>
      <c r="P85" s="2">
        <f t="shared" si="43"/>
        <v>3</v>
      </c>
      <c r="Q85" s="2">
        <v>2</v>
      </c>
      <c r="R85" s="2">
        <v>1</v>
      </c>
      <c r="S85" s="2">
        <v>0</v>
      </c>
      <c r="X85" s="3">
        <v>3</v>
      </c>
      <c r="Y85" s="1">
        <f>VLOOKUP(X85,[12]ölçme_sistemleri!I:L,2,FALSE)</f>
        <v>2</v>
      </c>
      <c r="Z85" s="1">
        <f>VLOOKUP(X85,[12]ölçme_sistemleri!I:L,3,FALSE)</f>
        <v>1</v>
      </c>
      <c r="AA85" s="1">
        <f>VLOOKUP(X85,[12]ölçme_sistemleri!I:L,4,FALSE)</f>
        <v>1</v>
      </c>
      <c r="AB85" s="1">
        <f>$O85*[12]ölçme_sistemleri!J$13</f>
        <v>2.5</v>
      </c>
      <c r="AC85" s="1">
        <f>$O85*[12]ölçme_sistemleri!K$13</f>
        <v>5</v>
      </c>
      <c r="AD85" s="1">
        <f>$O85*[12]ölçme_sistemleri!L$13</f>
        <v>7.5</v>
      </c>
      <c r="AE85" s="1">
        <f t="shared" si="44"/>
        <v>5</v>
      </c>
      <c r="AF85" s="1">
        <f t="shared" si="45"/>
        <v>5</v>
      </c>
      <c r="AG85" s="1">
        <f t="shared" si="46"/>
        <v>7.5</v>
      </c>
      <c r="AH85" s="1">
        <f t="shared" si="47"/>
        <v>17.5</v>
      </c>
      <c r="AI85" s="1">
        <v>14</v>
      </c>
      <c r="AJ85" s="1">
        <f>VLOOKUP(X85,[12]ölçme_sistemleri!I:M,5,FALSE)</f>
        <v>3</v>
      </c>
      <c r="AK85" s="1">
        <f t="shared" si="48"/>
        <v>245</v>
      </c>
      <c r="AL85" s="1">
        <f>AI85*4</f>
        <v>56</v>
      </c>
      <c r="AM85" s="1">
        <f>VLOOKUP(X85,[12]ölçme_sistemleri!I:N,6,FALSE)</f>
        <v>4</v>
      </c>
      <c r="AN85" s="1">
        <v>2</v>
      </c>
      <c r="AO85" s="1">
        <f t="shared" si="49"/>
        <v>8</v>
      </c>
      <c r="AP85" s="1">
        <v>14</v>
      </c>
      <c r="AQ85" s="1">
        <f t="shared" si="59"/>
        <v>42</v>
      </c>
      <c r="AR85" s="1">
        <f t="shared" si="50"/>
        <v>123.5</v>
      </c>
      <c r="AS85" s="1">
        <f t="shared" si="68"/>
        <v>25</v>
      </c>
      <c r="AT85" s="1">
        <f t="shared" si="51"/>
        <v>5</v>
      </c>
      <c r="AU85" s="1">
        <f t="shared" si="60"/>
        <v>0</v>
      </c>
      <c r="AV85" s="1">
        <f t="shared" si="61"/>
        <v>0</v>
      </c>
      <c r="AW85" s="1">
        <f t="shared" si="62"/>
        <v>0</v>
      </c>
      <c r="AX85" s="1">
        <f t="shared" si="63"/>
        <v>0</v>
      </c>
      <c r="AY85" s="1">
        <f t="shared" si="52"/>
        <v>-17.5</v>
      </c>
      <c r="AZ85" s="1">
        <f t="shared" si="64"/>
        <v>0</v>
      </c>
      <c r="BA85" s="1">
        <f t="shared" si="53"/>
        <v>-56</v>
      </c>
      <c r="BB85" s="1">
        <f t="shared" si="54"/>
        <v>0</v>
      </c>
      <c r="BC85" s="1">
        <f t="shared" si="55"/>
        <v>-8</v>
      </c>
      <c r="BD85" s="1">
        <f t="shared" si="56"/>
        <v>0</v>
      </c>
      <c r="BE85" s="1" t="s">
        <v>65</v>
      </c>
      <c r="BF85" s="1">
        <f t="shared" si="65"/>
        <v>35</v>
      </c>
      <c r="BG85" s="1">
        <f t="shared" si="57"/>
        <v>35</v>
      </c>
      <c r="BH85" s="1">
        <f t="shared" si="58"/>
        <v>1</v>
      </c>
      <c r="BI85" s="1" t="e">
        <f>IF(BH85-#REF!=0,"DOĞRU","YANLIŞ")</f>
        <v>#REF!</v>
      </c>
      <c r="BJ85" s="1" t="e">
        <f>#REF!-BH85</f>
        <v>#REF!</v>
      </c>
      <c r="BK85" s="1">
        <v>0</v>
      </c>
      <c r="BM85" s="1">
        <v>0</v>
      </c>
      <c r="BO85" s="1">
        <v>4</v>
      </c>
      <c r="BT85" s="8">
        <f t="shared" si="66"/>
        <v>14</v>
      </c>
      <c r="BU85" s="9"/>
      <c r="BV85" s="10"/>
      <c r="BW85" s="11"/>
      <c r="BX85" s="11"/>
      <c r="BY85" s="11"/>
      <c r="BZ85" s="11"/>
      <c r="CA85" s="11"/>
      <c r="CB85" s="12"/>
      <c r="CC85" s="13"/>
      <c r="CD85" s="14"/>
      <c r="CL85" s="11"/>
      <c r="CM85" s="11"/>
      <c r="CN85" s="11"/>
      <c r="CO85" s="11"/>
      <c r="CP85" s="11"/>
      <c r="CQ85" s="46"/>
      <c r="CR85" s="46"/>
      <c r="CS85" s="48"/>
      <c r="CT85" s="48"/>
      <c r="CU85" s="48"/>
      <c r="CV85" s="48"/>
      <c r="CW85" s="49"/>
      <c r="CX85" s="49"/>
    </row>
    <row r="86" spans="1:102" hidden="1" x14ac:dyDescent="0.25">
      <c r="A86" s="1" t="s">
        <v>76</v>
      </c>
      <c r="B86" s="1" t="s">
        <v>77</v>
      </c>
      <c r="C86" s="1" t="s">
        <v>77</v>
      </c>
      <c r="D86" s="2" t="s">
        <v>58</v>
      </c>
      <c r="E86" s="2" t="s">
        <v>58</v>
      </c>
      <c r="F86" s="3" t="e">
        <f>IF(BE86="S",
IF(#REF!+BM86=2018,
IF(#REF!=1,"18-19/1",
IF(#REF!=2,"18-19/2",
IF(#REF!=3,"19-20/1",
IF(#REF!=4,"19-20/2",
IF(#REF!=5,"20-21/1",
IF(#REF!=6,"20-21/2",
IF(#REF!=7,"21-22/1",
IF(#REF!=8,"21-22/2","Hata1")))))))),
IF(#REF!+BM86=2019,
IF(#REF!=1,"19-20/1",
IF(#REF!=2,"19-20/2",
IF(#REF!=3,"20-21/1",
IF(#REF!=4,"20-21/2",
IF(#REF!=5,"21-22/1",
IF(#REF!=6,"21-22/2",
IF(#REF!=7,"22-23/1",
IF(#REF!=8,"22-23/2","Hata2")))))))),
IF(#REF!+BM86=2020,
IF(#REF!=1,"20-21/1",
IF(#REF!=2,"20-21/2",
IF(#REF!=3,"21-22/1",
IF(#REF!=4,"21-22/2",
IF(#REF!=5,"22-23/1",
IF(#REF!=6,"22-23/2",
IF(#REF!=7,"23-24/1",
IF(#REF!=8,"23-24/2","Hata3")))))))),
IF(#REF!+BM86=2021,
IF(#REF!=1,"21-22/1",
IF(#REF!=2,"21-22/2",
IF(#REF!=3,"22-23/1",
IF(#REF!=4,"22-23/2",
IF(#REF!=5,"23-24/1",
IF(#REF!=6,"23-24/2",
IF(#REF!=7,"24-25/1",
IF(#REF!=8,"24-25/2","Hata4")))))))),
IF(#REF!+BM86=2022,
IF(#REF!=1,"22-23/1",
IF(#REF!=2,"22-23/2",
IF(#REF!=3,"23-24/1",
IF(#REF!=4,"23-24/2",
IF(#REF!=5,"24-25/1",
IF(#REF!=6,"24-25/2",
IF(#REF!=7,"25-26/1",
IF(#REF!=8,"25-26/2","Hata5")))))))),
IF(#REF!+BM86=2023,
IF(#REF!=1,"23-24/1",
IF(#REF!=2,"23-24/2",
IF(#REF!=3,"24-25/1",
IF(#REF!=4,"24-25/2",
IF(#REF!=5,"25-26/1",
IF(#REF!=6,"25-26/2",
IF(#REF!=7,"26-27/1",
IF(#REF!=8,"26-27/2","Hata6")))))))),
)))))),
IF(BE86="T",
IF(#REF!+BM86=2018,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6" s="1" t="s">
        <v>78</v>
      </c>
      <c r="J86" s="1">
        <v>4234784</v>
      </c>
      <c r="L86" s="2">
        <v>3403</v>
      </c>
      <c r="N86" s="2">
        <v>4</v>
      </c>
      <c r="O86" s="6">
        <f t="shared" si="42"/>
        <v>2</v>
      </c>
      <c r="P86" s="2">
        <f t="shared" si="43"/>
        <v>2</v>
      </c>
      <c r="Q86" s="2">
        <v>0</v>
      </c>
      <c r="R86" s="2">
        <v>0</v>
      </c>
      <c r="S86" s="2">
        <v>2</v>
      </c>
      <c r="X86" s="3">
        <v>7</v>
      </c>
      <c r="Y86" s="1">
        <f>VLOOKUP(X86,[13]ölçme_sistemleri!I:L,2,FALSE)</f>
        <v>0</v>
      </c>
      <c r="Z86" s="1">
        <f>VLOOKUP(X86,[13]ölçme_sistemleri!I:L,3,FALSE)</f>
        <v>1</v>
      </c>
      <c r="AA86" s="1">
        <f>VLOOKUP(X86,[13]ölçme_sistemleri!I:L,4,FALSE)</f>
        <v>1</v>
      </c>
      <c r="AB86" s="1">
        <f>$O86*[13]ölçme_sistemleri!J$13</f>
        <v>2</v>
      </c>
      <c r="AC86" s="1">
        <f>$O86*[13]ölçme_sistemleri!K$13</f>
        <v>4</v>
      </c>
      <c r="AD86" s="1">
        <f>$O86*[13]ölçme_sistemleri!L$13</f>
        <v>6</v>
      </c>
      <c r="AE86" s="1">
        <f t="shared" si="44"/>
        <v>0</v>
      </c>
      <c r="AF86" s="1">
        <f t="shared" si="45"/>
        <v>4</v>
      </c>
      <c r="AG86" s="1">
        <f t="shared" si="46"/>
        <v>6</v>
      </c>
      <c r="AH86" s="1">
        <f t="shared" si="47"/>
        <v>10</v>
      </c>
      <c r="AI86" s="1">
        <v>14</v>
      </c>
      <c r="AJ86" s="1">
        <f>VLOOKUP(X86,[13]ölçme_sistemleri!I:M,5,FALSE)</f>
        <v>1</v>
      </c>
      <c r="AK86" s="1">
        <f t="shared" si="48"/>
        <v>140</v>
      </c>
      <c r="AL86" s="1">
        <f>AI86*4</f>
        <v>56</v>
      </c>
      <c r="AM86" s="1">
        <f>VLOOKUP(X86,[13]ölçme_sistemleri!I:N,6,FALSE)</f>
        <v>2</v>
      </c>
      <c r="AN86" s="1">
        <v>2</v>
      </c>
      <c r="AO86" s="1">
        <f t="shared" si="49"/>
        <v>4</v>
      </c>
      <c r="AP86" s="1">
        <v>14</v>
      </c>
      <c r="AQ86" s="1">
        <f t="shared" si="59"/>
        <v>28</v>
      </c>
      <c r="AR86" s="1">
        <f t="shared" si="50"/>
        <v>98</v>
      </c>
      <c r="AS86" s="1">
        <f t="shared" si="68"/>
        <v>25</v>
      </c>
      <c r="AT86" s="1">
        <f t="shared" si="51"/>
        <v>4</v>
      </c>
      <c r="AU86" s="1">
        <f t="shared" si="60"/>
        <v>0</v>
      </c>
      <c r="AV86" s="1">
        <f t="shared" si="61"/>
        <v>0</v>
      </c>
      <c r="AW86" s="1">
        <f t="shared" si="62"/>
        <v>0</v>
      </c>
      <c r="AX86" s="1">
        <f t="shared" si="63"/>
        <v>0</v>
      </c>
      <c r="AY86" s="1">
        <f t="shared" si="52"/>
        <v>-10</v>
      </c>
      <c r="AZ86" s="1">
        <f t="shared" si="64"/>
        <v>0</v>
      </c>
      <c r="BA86" s="1">
        <f t="shared" si="53"/>
        <v>-56</v>
      </c>
      <c r="BB86" s="1">
        <f t="shared" si="54"/>
        <v>0</v>
      </c>
      <c r="BC86" s="1">
        <f t="shared" si="55"/>
        <v>-4</v>
      </c>
      <c r="BD86" s="1">
        <f t="shared" si="56"/>
        <v>0</v>
      </c>
      <c r="BE86" s="1" t="s">
        <v>65</v>
      </c>
      <c r="BF86" s="1">
        <f t="shared" si="65"/>
        <v>28</v>
      </c>
      <c r="BG86" s="1">
        <f t="shared" si="57"/>
        <v>28</v>
      </c>
      <c r="BH86" s="1">
        <f t="shared" si="58"/>
        <v>1</v>
      </c>
      <c r="BI86" s="1" t="e">
        <f>IF(BH86-#REF!=0,"DOĞRU","YANLIŞ")</f>
        <v>#REF!</v>
      </c>
      <c r="BJ86" s="1" t="e">
        <f>#REF!-BH86</f>
        <v>#REF!</v>
      </c>
      <c r="BK86" s="1">
        <v>0</v>
      </c>
      <c r="BM86" s="1">
        <v>0</v>
      </c>
      <c r="BO86" s="1">
        <v>4</v>
      </c>
      <c r="BT86" s="8">
        <f t="shared" si="66"/>
        <v>0</v>
      </c>
      <c r="BU86" s="9"/>
      <c r="BV86" s="10"/>
      <c r="BW86" s="11"/>
      <c r="BX86" s="11"/>
      <c r="BY86" s="11"/>
      <c r="BZ86" s="11"/>
      <c r="CA86" s="11"/>
      <c r="CB86" s="12"/>
      <c r="CC86" s="13"/>
      <c r="CD86" s="14"/>
      <c r="CL86" s="11"/>
      <c r="CM86" s="11"/>
      <c r="CN86" s="11"/>
      <c r="CO86" s="11"/>
      <c r="CP86" s="50"/>
      <c r="CQ86" s="54"/>
      <c r="CR86" s="46"/>
      <c r="CS86" s="54"/>
      <c r="CT86" s="48"/>
      <c r="CU86" s="48"/>
      <c r="CV86" s="48"/>
      <c r="CW86" s="49"/>
      <c r="CX86" s="49"/>
    </row>
    <row r="87" spans="1:102" hidden="1" x14ac:dyDescent="0.25">
      <c r="A87" s="1" t="s">
        <v>177</v>
      </c>
      <c r="B87" s="1" t="s">
        <v>178</v>
      </c>
      <c r="C87" s="1" t="s">
        <v>178</v>
      </c>
      <c r="D87" s="2" t="s">
        <v>58</v>
      </c>
      <c r="E87" s="2" t="s">
        <v>58</v>
      </c>
      <c r="F87" s="3" t="e">
        <f>IF(BE87="S",
IF(#REF!+BM87=2018,
IF(#REF!=1,"18-19/1",
IF(#REF!=2,"18-19/2",
IF(#REF!=3,"19-20/1",
IF(#REF!=4,"19-20/2",
IF(#REF!=5,"20-21/1",
IF(#REF!=6,"20-21/2",
IF(#REF!=7,"21-22/1",
IF(#REF!=8,"21-22/2","Hata1")))))))),
IF(#REF!+BM87=2019,
IF(#REF!=1,"19-20/1",
IF(#REF!=2,"19-20/2",
IF(#REF!=3,"20-21/1",
IF(#REF!=4,"20-21/2",
IF(#REF!=5,"21-22/1",
IF(#REF!=6,"21-22/2",
IF(#REF!=7,"22-23/1",
IF(#REF!=8,"22-23/2","Hata2")))))))),
IF(#REF!+BM87=2020,
IF(#REF!=1,"20-21/1",
IF(#REF!=2,"20-21/2",
IF(#REF!=3,"21-22/1",
IF(#REF!=4,"21-22/2",
IF(#REF!=5,"22-23/1",
IF(#REF!=6,"22-23/2",
IF(#REF!=7,"23-24/1",
IF(#REF!=8,"23-24/2","Hata3")))))))),
IF(#REF!+BM87=2021,
IF(#REF!=1,"21-22/1",
IF(#REF!=2,"21-22/2",
IF(#REF!=3,"22-23/1",
IF(#REF!=4,"22-23/2",
IF(#REF!=5,"23-24/1",
IF(#REF!=6,"23-24/2",
IF(#REF!=7,"24-25/1",
IF(#REF!=8,"24-25/2","Hata4")))))))),
IF(#REF!+BM87=2022,
IF(#REF!=1,"22-23/1",
IF(#REF!=2,"22-23/2",
IF(#REF!=3,"23-24/1",
IF(#REF!=4,"23-24/2",
IF(#REF!=5,"24-25/1",
IF(#REF!=6,"24-25/2",
IF(#REF!=7,"25-26/1",
IF(#REF!=8,"25-26/2","Hata5")))))))),
IF(#REF!+BM87=2023,
IF(#REF!=1,"23-24/1",
IF(#REF!=2,"23-24/2",
IF(#REF!=3,"24-25/1",
IF(#REF!=4,"24-25/2",
IF(#REF!=5,"25-26/1",
IF(#REF!=6,"25-26/2",
IF(#REF!=7,"26-27/1",
IF(#REF!=8,"26-27/2","Hata6")))))))),
)))))),
IF(BE87="T",
IF(#REF!+BM87=2018,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87" s="3">
        <v>0</v>
      </c>
      <c r="I87" s="1" t="s">
        <v>78</v>
      </c>
      <c r="J87" s="1">
        <v>4234784</v>
      </c>
      <c r="L87" s="2">
        <v>3511</v>
      </c>
      <c r="N87" s="2">
        <v>4</v>
      </c>
      <c r="O87" s="6">
        <f t="shared" si="42"/>
        <v>2</v>
      </c>
      <c r="P87" s="2">
        <f t="shared" si="43"/>
        <v>2</v>
      </c>
      <c r="Q87" s="2">
        <v>2</v>
      </c>
      <c r="R87" s="2">
        <v>0</v>
      </c>
      <c r="S87" s="2">
        <v>0</v>
      </c>
      <c r="X87" s="3">
        <v>4</v>
      </c>
      <c r="Y87" s="1">
        <f>VLOOKUP(X87,[13]ölçme_sistemleri!I:L,2,FALSE)</f>
        <v>0</v>
      </c>
      <c r="Z87" s="1">
        <f>VLOOKUP(X87,[13]ölçme_sistemleri!I:L,3,FALSE)</f>
        <v>1</v>
      </c>
      <c r="AA87" s="1">
        <f>VLOOKUP(X87,[13]ölçme_sistemleri!I:L,4,FALSE)</f>
        <v>1</v>
      </c>
      <c r="AB87" s="1">
        <f>$O87*[13]ölçme_sistemleri!J$13</f>
        <v>2</v>
      </c>
      <c r="AC87" s="1">
        <f>$O87*[13]ölçme_sistemleri!K$13</f>
        <v>4</v>
      </c>
      <c r="AD87" s="1">
        <f>$O87*[13]ölçme_sistemleri!L$13</f>
        <v>6</v>
      </c>
      <c r="AE87" s="1">
        <f t="shared" si="44"/>
        <v>0</v>
      </c>
      <c r="AF87" s="1">
        <f t="shared" si="45"/>
        <v>4</v>
      </c>
      <c r="AG87" s="1">
        <f t="shared" si="46"/>
        <v>6</v>
      </c>
      <c r="AH87" s="1">
        <f t="shared" si="47"/>
        <v>10</v>
      </c>
      <c r="AI87" s="1">
        <v>14</v>
      </c>
      <c r="AJ87" s="1">
        <f>VLOOKUP(X87,[13]ölçme_sistemleri!I:M,5,FALSE)</f>
        <v>1</v>
      </c>
      <c r="AK87" s="1">
        <f t="shared" si="48"/>
        <v>140</v>
      </c>
      <c r="AL87" s="1">
        <f>AI87*4</f>
        <v>56</v>
      </c>
      <c r="AM87" s="1">
        <f>VLOOKUP(X87,[13]ölçme_sistemleri!I:N,6,FALSE)</f>
        <v>2</v>
      </c>
      <c r="AN87" s="1">
        <v>2</v>
      </c>
      <c r="AO87" s="1">
        <f t="shared" si="49"/>
        <v>4</v>
      </c>
      <c r="AP87" s="1">
        <v>14</v>
      </c>
      <c r="AQ87" s="1">
        <f t="shared" si="59"/>
        <v>28</v>
      </c>
      <c r="AR87" s="1">
        <f t="shared" si="50"/>
        <v>98</v>
      </c>
      <c r="AS87" s="1">
        <f t="shared" si="68"/>
        <v>25</v>
      </c>
      <c r="AT87" s="1">
        <f t="shared" si="51"/>
        <v>4</v>
      </c>
      <c r="AU87" s="1">
        <f t="shared" si="60"/>
        <v>0</v>
      </c>
      <c r="AV87" s="1">
        <f t="shared" si="61"/>
        <v>0</v>
      </c>
      <c r="AW87" s="1">
        <f t="shared" si="62"/>
        <v>0</v>
      </c>
      <c r="AX87" s="1">
        <f t="shared" si="63"/>
        <v>0</v>
      </c>
      <c r="AY87" s="1">
        <f t="shared" si="52"/>
        <v>-10</v>
      </c>
      <c r="AZ87" s="1">
        <f t="shared" si="64"/>
        <v>0</v>
      </c>
      <c r="BA87" s="1">
        <f t="shared" si="53"/>
        <v>-56</v>
      </c>
      <c r="BB87" s="1">
        <f t="shared" si="54"/>
        <v>0</v>
      </c>
      <c r="BC87" s="1">
        <f t="shared" si="55"/>
        <v>-4</v>
      </c>
      <c r="BD87" s="1">
        <f t="shared" si="56"/>
        <v>0</v>
      </c>
      <c r="BE87" s="1" t="s">
        <v>65</v>
      </c>
      <c r="BF87" s="1">
        <f t="shared" si="65"/>
        <v>28</v>
      </c>
      <c r="BG87" s="1">
        <f t="shared" si="57"/>
        <v>28</v>
      </c>
      <c r="BH87" s="1">
        <f t="shared" si="58"/>
        <v>1</v>
      </c>
      <c r="BI87" s="1" t="e">
        <f>IF(BH87-#REF!=0,"DOĞRU","YANLIŞ")</f>
        <v>#REF!</v>
      </c>
      <c r="BJ87" s="1" t="e">
        <f>#REF!-BH87</f>
        <v>#REF!</v>
      </c>
      <c r="BK87" s="1">
        <v>1</v>
      </c>
      <c r="BM87" s="1">
        <v>0</v>
      </c>
      <c r="BO87" s="1">
        <v>2</v>
      </c>
      <c r="BT87" s="8">
        <f t="shared" si="66"/>
        <v>0</v>
      </c>
      <c r="BU87" s="9"/>
      <c r="BV87" s="10"/>
      <c r="BW87" s="11"/>
      <c r="BX87" s="11"/>
      <c r="BY87" s="11"/>
      <c r="BZ87" s="11"/>
      <c r="CA87" s="11"/>
      <c r="CB87" s="12"/>
      <c r="CC87" s="13"/>
      <c r="CD87" s="14"/>
      <c r="CL87" s="11"/>
      <c r="CM87" s="11"/>
      <c r="CN87" s="11"/>
      <c r="CO87" s="11"/>
      <c r="CP87" s="11"/>
      <c r="CQ87" s="46"/>
      <c r="CR87" s="46"/>
      <c r="CS87" s="48"/>
      <c r="CT87" s="48"/>
      <c r="CU87" s="48"/>
      <c r="CV87" s="48"/>
      <c r="CW87" s="49"/>
      <c r="CX87" s="49"/>
    </row>
    <row r="88" spans="1:102" hidden="1" x14ac:dyDescent="0.25">
      <c r="A88" s="1" t="s">
        <v>71</v>
      </c>
      <c r="B88" s="1" t="s">
        <v>72</v>
      </c>
      <c r="C88" s="1" t="s">
        <v>72</v>
      </c>
      <c r="D88" s="2" t="s">
        <v>63</v>
      </c>
      <c r="E88" s="2" t="s">
        <v>63</v>
      </c>
      <c r="F88" s="3" t="e">
        <f>IF(BE88="S",
IF(#REF!+BM88=2018,
IF(#REF!=1,"18-19/1",
IF(#REF!=2,"18-19/2",
IF(#REF!=3,"19-20/1",
IF(#REF!=4,"19-20/2",
IF(#REF!=5,"20-21/1",
IF(#REF!=6,"20-21/2",
IF(#REF!=7,"21-22/1",
IF(#REF!=8,"21-22/2","Hata1")))))))),
IF(#REF!+BM88=2019,
IF(#REF!=1,"19-20/1",
IF(#REF!=2,"19-20/2",
IF(#REF!=3,"20-21/1",
IF(#REF!=4,"20-21/2",
IF(#REF!=5,"21-22/1",
IF(#REF!=6,"21-22/2",
IF(#REF!=7,"22-23/1",
IF(#REF!=8,"22-23/2","Hata2")))))))),
IF(#REF!+BM88=2020,
IF(#REF!=1,"20-21/1",
IF(#REF!=2,"20-21/2",
IF(#REF!=3,"21-22/1",
IF(#REF!=4,"21-22/2",
IF(#REF!=5,"22-23/1",
IF(#REF!=6,"22-23/2",
IF(#REF!=7,"23-24/1",
IF(#REF!=8,"23-24/2","Hata3")))))))),
IF(#REF!+BM88=2021,
IF(#REF!=1,"21-22/1",
IF(#REF!=2,"21-22/2",
IF(#REF!=3,"22-23/1",
IF(#REF!=4,"22-23/2",
IF(#REF!=5,"23-24/1",
IF(#REF!=6,"23-24/2",
IF(#REF!=7,"24-25/1",
IF(#REF!=8,"24-25/2","Hata4")))))))),
IF(#REF!+BM88=2022,
IF(#REF!=1,"22-23/1",
IF(#REF!=2,"22-23/2",
IF(#REF!=3,"23-24/1",
IF(#REF!=4,"23-24/2",
IF(#REF!=5,"24-25/1",
IF(#REF!=6,"24-25/2",
IF(#REF!=7,"25-26/1",
IF(#REF!=8,"25-26/2","Hata5")))))))),
IF(#REF!+BM88=2023,
IF(#REF!=1,"23-24/1",
IF(#REF!=2,"23-24/2",
IF(#REF!=3,"24-25/1",
IF(#REF!=4,"24-25/2",
IF(#REF!=5,"25-26/1",
IF(#REF!=6,"25-26/2",
IF(#REF!=7,"26-27/1",
IF(#REF!=8,"26-27/2","Hata6")))))))),
)))))),
IF(BE88="T",
IF(#REF!+BM88=2018,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8" s="1" t="s">
        <v>78</v>
      </c>
      <c r="J88" s="1">
        <v>4234784</v>
      </c>
      <c r="L88" s="2">
        <v>3434</v>
      </c>
      <c r="N88" s="2">
        <v>3</v>
      </c>
      <c r="O88" s="6">
        <f t="shared" si="42"/>
        <v>2</v>
      </c>
      <c r="P88" s="2">
        <f t="shared" si="43"/>
        <v>2</v>
      </c>
      <c r="Q88" s="2">
        <v>2</v>
      </c>
      <c r="R88" s="2">
        <v>0</v>
      </c>
      <c r="S88" s="2">
        <v>0</v>
      </c>
      <c r="X88" s="3">
        <v>4</v>
      </c>
      <c r="Y88" s="1">
        <f>VLOOKUP(X88,[13]ölçme_sistemleri!I:L,2,FALSE)</f>
        <v>0</v>
      </c>
      <c r="Z88" s="1">
        <f>VLOOKUP(X88,[13]ölçme_sistemleri!I:L,3,FALSE)</f>
        <v>1</v>
      </c>
      <c r="AA88" s="1">
        <f>VLOOKUP(X88,[13]ölçme_sistemleri!I:L,4,FALSE)</f>
        <v>1</v>
      </c>
      <c r="AB88" s="1">
        <f>$O88*[13]ölçme_sistemleri!J$13</f>
        <v>2</v>
      </c>
      <c r="AC88" s="1">
        <f>$O88*[13]ölçme_sistemleri!K$13</f>
        <v>4</v>
      </c>
      <c r="AD88" s="1">
        <f>$O88*[13]ölçme_sistemleri!L$13</f>
        <v>6</v>
      </c>
      <c r="AE88" s="1">
        <f t="shared" si="44"/>
        <v>0</v>
      </c>
      <c r="AF88" s="1">
        <f t="shared" si="45"/>
        <v>4</v>
      </c>
      <c r="AG88" s="1">
        <f t="shared" si="46"/>
        <v>6</v>
      </c>
      <c r="AH88" s="1">
        <f t="shared" si="47"/>
        <v>10</v>
      </c>
      <c r="AI88" s="1">
        <v>14</v>
      </c>
      <c r="AJ88" s="1">
        <f>VLOOKUP(X88,[13]ölçme_sistemleri!I:M,5,FALSE)</f>
        <v>1</v>
      </c>
      <c r="AK88" s="1">
        <f t="shared" si="48"/>
        <v>140</v>
      </c>
      <c r="AL88" s="1">
        <f>(Q88+S88)*AI88</f>
        <v>28</v>
      </c>
      <c r="AM88" s="1">
        <f>VLOOKUP(X88,[13]ölçme_sistemleri!I:N,6,FALSE)</f>
        <v>2</v>
      </c>
      <c r="AN88" s="1">
        <v>2</v>
      </c>
      <c r="AO88" s="1">
        <f t="shared" si="49"/>
        <v>4</v>
      </c>
      <c r="AP88" s="1">
        <v>14</v>
      </c>
      <c r="AQ88" s="1">
        <f t="shared" si="59"/>
        <v>28</v>
      </c>
      <c r="AR88" s="1">
        <f t="shared" si="50"/>
        <v>70</v>
      </c>
      <c r="AS88" s="1">
        <f t="shared" si="68"/>
        <v>25</v>
      </c>
      <c r="AT88" s="1">
        <f t="shared" si="51"/>
        <v>3</v>
      </c>
      <c r="AU88" s="1">
        <f t="shared" si="60"/>
        <v>0</v>
      </c>
      <c r="AV88" s="1">
        <f t="shared" si="61"/>
        <v>0</v>
      </c>
      <c r="AW88" s="1">
        <f t="shared" si="62"/>
        <v>0</v>
      </c>
      <c r="AX88" s="1">
        <f t="shared" si="63"/>
        <v>0</v>
      </c>
      <c r="AY88" s="1">
        <f t="shared" si="52"/>
        <v>-10</v>
      </c>
      <c r="AZ88" s="1">
        <f t="shared" si="64"/>
        <v>0</v>
      </c>
      <c r="BA88" s="1">
        <f t="shared" si="53"/>
        <v>-28</v>
      </c>
      <c r="BB88" s="1">
        <f t="shared" si="54"/>
        <v>0</v>
      </c>
      <c r="BC88" s="1">
        <f t="shared" si="55"/>
        <v>-4</v>
      </c>
      <c r="BD88" s="1">
        <f t="shared" si="56"/>
        <v>0</v>
      </c>
      <c r="BE88" s="1" t="s">
        <v>65</v>
      </c>
      <c r="BF88" s="1">
        <f t="shared" si="65"/>
        <v>28</v>
      </c>
      <c r="BG88" s="1">
        <f t="shared" si="57"/>
        <v>28</v>
      </c>
      <c r="BH88" s="1">
        <f t="shared" si="58"/>
        <v>1</v>
      </c>
      <c r="BI88" s="1" t="e">
        <f>IF(BH88-#REF!=0,"DOĞRU","YANLIŞ")</f>
        <v>#REF!</v>
      </c>
      <c r="BJ88" s="1" t="e">
        <f>#REF!-BH88</f>
        <v>#REF!</v>
      </c>
      <c r="BK88" s="1">
        <v>1</v>
      </c>
      <c r="BM88" s="1">
        <v>0</v>
      </c>
      <c r="BO88" s="1">
        <v>2</v>
      </c>
      <c r="BT88" s="8">
        <f t="shared" si="66"/>
        <v>0</v>
      </c>
      <c r="BU88" s="9"/>
      <c r="BV88" s="10"/>
      <c r="BW88" s="11"/>
      <c r="BX88" s="11"/>
      <c r="BY88" s="11"/>
      <c r="BZ88" s="11"/>
      <c r="CA88" s="11"/>
      <c r="CB88" s="12"/>
      <c r="CC88" s="13"/>
      <c r="CD88" s="14"/>
      <c r="CL88" s="11"/>
      <c r="CM88" s="11"/>
      <c r="CN88" s="11"/>
      <c r="CO88" s="11"/>
      <c r="CP88" s="11"/>
      <c r="CQ88" s="46"/>
      <c r="CR88" s="46"/>
      <c r="CS88" s="53"/>
      <c r="CT88" s="53"/>
      <c r="CU88" s="53"/>
      <c r="CV88" s="53"/>
      <c r="CW88" s="49"/>
      <c r="CX88" s="49"/>
    </row>
    <row r="89" spans="1:102" x14ac:dyDescent="0.25">
      <c r="A89" s="112" t="s">
        <v>136</v>
      </c>
      <c r="B89" s="112" t="s">
        <v>134</v>
      </c>
      <c r="C89" s="1" t="s">
        <v>134</v>
      </c>
      <c r="D89" s="2" t="s">
        <v>63</v>
      </c>
      <c r="E89" s="2" t="s">
        <v>63</v>
      </c>
      <c r="F89" s="3" t="e">
        <f>IF(BE89="S",
IF(#REF!+BM89=2018,
IF(#REF!=1,"18-19/1",
IF(#REF!=2,"18-19/2",
IF(#REF!=3,"19-20/1",
IF(#REF!=4,"19-20/2",
IF(#REF!=5,"20-21/1",
IF(#REF!=6,"20-21/2",
IF(#REF!=7,"21-22/1",
IF(#REF!=8,"21-22/2","Hata1")))))))),
IF(#REF!+BM89=2019,
IF(#REF!=1,"19-20/1",
IF(#REF!=2,"19-20/2",
IF(#REF!=3,"20-21/1",
IF(#REF!=4,"20-21/2",
IF(#REF!=5,"21-22/1",
IF(#REF!=6,"21-22/2",
IF(#REF!=7,"22-23/1",
IF(#REF!=8,"22-23/2","Hata2")))))))),
IF(#REF!+BM89=2020,
IF(#REF!=1,"20-21/1",
IF(#REF!=2,"20-21/2",
IF(#REF!=3,"21-22/1",
IF(#REF!=4,"21-22/2",
IF(#REF!=5,"22-23/1",
IF(#REF!=6,"22-23/2",
IF(#REF!=7,"23-24/1",
IF(#REF!=8,"23-24/2","Hata3")))))))),
IF(#REF!+BM89=2021,
IF(#REF!=1,"21-22/1",
IF(#REF!=2,"21-22/2",
IF(#REF!=3,"22-23/1",
IF(#REF!=4,"22-23/2",
IF(#REF!=5,"23-24/1",
IF(#REF!=6,"23-24/2",
IF(#REF!=7,"24-25/1",
IF(#REF!=8,"24-25/2","Hata4")))))))),
IF(#REF!+BM89=2022,
IF(#REF!=1,"22-23/1",
IF(#REF!=2,"22-23/2",
IF(#REF!=3,"23-24/1",
IF(#REF!=4,"23-24/2",
IF(#REF!=5,"24-25/1",
IF(#REF!=6,"24-25/2",
IF(#REF!=7,"25-26/1",
IF(#REF!=8,"25-26/2","Hata5")))))))),
IF(#REF!+BM89=2023,
IF(#REF!=1,"23-24/1",
IF(#REF!=2,"23-24/2",
IF(#REF!=3,"24-25/1",
IF(#REF!=4,"24-25/2",
IF(#REF!=5,"25-26/1",
IF(#REF!=6,"25-26/2",
IF(#REF!=7,"26-27/1",
IF(#REF!=8,"26-27/2","Hata6")))))))),
)))))),
IF(BE89="T",
IF(#REF!+BM89=2018,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IF(#REF!+BM89=2019,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IF(#REF!+BM89=2020,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IF(#REF!+BM89=2021,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IF(#REF!+BM89=2022,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IF(#REF!+BM89=2023,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89" s="112" t="s">
        <v>78</v>
      </c>
      <c r="J89" s="1">
        <v>4234784</v>
      </c>
      <c r="L89" s="2">
        <v>3426</v>
      </c>
      <c r="N89" s="113">
        <v>5</v>
      </c>
      <c r="O89" s="89">
        <f t="shared" si="42"/>
        <v>4</v>
      </c>
      <c r="P89" s="2">
        <f t="shared" si="43"/>
        <v>4</v>
      </c>
      <c r="Q89" s="2">
        <v>2</v>
      </c>
      <c r="R89" s="2">
        <v>0</v>
      </c>
      <c r="S89" s="2">
        <v>2</v>
      </c>
      <c r="X89" s="90">
        <v>4</v>
      </c>
      <c r="Y89" s="1">
        <f>VLOOKUP(X89,[6]ölçme_sistemleri!I:L,2,FALSE)</f>
        <v>0</v>
      </c>
      <c r="Z89" s="1">
        <f>VLOOKUP(X89,[6]ölçme_sistemleri!I:L,3,FALSE)</f>
        <v>1</v>
      </c>
      <c r="AA89" s="1">
        <f>VLOOKUP(X89,[6]ölçme_sistemleri!I:L,4,FALSE)</f>
        <v>1</v>
      </c>
      <c r="AB89" s="1">
        <f>$O89*[6]ölçme_sistemleri!$J$13</f>
        <v>4</v>
      </c>
      <c r="AC89" s="1">
        <f>$O89*[6]ölçme_sistemleri!$K$13</f>
        <v>8</v>
      </c>
      <c r="AD89" s="1">
        <f>$O89*[6]ölçme_sistemleri!$L$13</f>
        <v>12</v>
      </c>
      <c r="AE89" s="1">
        <f t="shared" si="44"/>
        <v>0</v>
      </c>
      <c r="AF89" s="1">
        <f t="shared" si="45"/>
        <v>8</v>
      </c>
      <c r="AG89" s="1">
        <f t="shared" si="46"/>
        <v>12</v>
      </c>
      <c r="AH89" s="1">
        <f t="shared" si="47"/>
        <v>20</v>
      </c>
      <c r="AI89" s="1">
        <v>14</v>
      </c>
      <c r="AJ89" s="1">
        <f>VLOOKUP(X89,[6]ölçme_sistemleri!I:M,5,FALSE)</f>
        <v>1</v>
      </c>
      <c r="AK89" s="1">
        <f t="shared" si="48"/>
        <v>280</v>
      </c>
      <c r="AL89" s="1">
        <f>(Q89+S89)*AI89</f>
        <v>56</v>
      </c>
      <c r="AM89" s="1">
        <f>VLOOKUP(X89,[6]ölçme_sistemleri!I:N,6,FALSE)</f>
        <v>2</v>
      </c>
      <c r="AN89" s="1">
        <v>2</v>
      </c>
      <c r="AO89" s="1">
        <f t="shared" si="49"/>
        <v>4</v>
      </c>
      <c r="AP89" s="1">
        <v>14</v>
      </c>
      <c r="AQ89" s="1">
        <f t="shared" si="59"/>
        <v>56</v>
      </c>
      <c r="AR89" s="1">
        <f t="shared" si="50"/>
        <v>136</v>
      </c>
      <c r="AS89" s="1">
        <f>IF(BE89="s",30,25)</f>
        <v>30</v>
      </c>
      <c r="AT89" s="1">
        <f t="shared" si="51"/>
        <v>5</v>
      </c>
      <c r="AU89" s="1">
        <f t="shared" si="60"/>
        <v>0</v>
      </c>
      <c r="AV89" s="1">
        <f t="shared" si="61"/>
        <v>0</v>
      </c>
      <c r="AW89" s="1">
        <f t="shared" si="62"/>
        <v>0</v>
      </c>
      <c r="AX89" s="1">
        <f t="shared" si="63"/>
        <v>0</v>
      </c>
      <c r="AY89" s="1">
        <f t="shared" si="52"/>
        <v>-20</v>
      </c>
      <c r="AZ89" s="1">
        <f t="shared" si="64"/>
        <v>0</v>
      </c>
      <c r="BA89" s="1">
        <f t="shared" si="53"/>
        <v>-56</v>
      </c>
      <c r="BB89" s="1">
        <f t="shared" si="54"/>
        <v>0</v>
      </c>
      <c r="BC89" s="1">
        <f t="shared" si="55"/>
        <v>-4</v>
      </c>
      <c r="BD89" s="1">
        <f t="shared" si="56"/>
        <v>0</v>
      </c>
      <c r="BE89" s="1" t="s">
        <v>65</v>
      </c>
      <c r="BF89" s="1">
        <f>IF(BM89="A",0,IF(BE89="s",14*O89,IF(BE89="T",11*O89,"HATA")))</f>
        <v>56</v>
      </c>
      <c r="BG89" s="1">
        <f>IF(BM89="Z",(BF89+BD89)*1.15,(BF89+BD89))</f>
        <v>56</v>
      </c>
      <c r="BH89" s="1">
        <f t="shared" si="58"/>
        <v>2</v>
      </c>
      <c r="BI89" s="1" t="e">
        <f>IF(BH89-#REF!=0,"DOĞRU","YANLIŞ")</f>
        <v>#REF!</v>
      </c>
      <c r="BJ89" s="1" t="e">
        <f>#REF!-BH89</f>
        <v>#REF!</v>
      </c>
      <c r="BK89" s="1">
        <v>1</v>
      </c>
      <c r="BM89" s="1">
        <v>0</v>
      </c>
      <c r="BO89" s="1">
        <v>4</v>
      </c>
      <c r="BT89" s="8">
        <f t="shared" si="66"/>
        <v>0</v>
      </c>
      <c r="BU89" s="9"/>
      <c r="BV89" s="10"/>
      <c r="BW89" s="11"/>
      <c r="BX89" s="11"/>
      <c r="BY89" s="11"/>
      <c r="BZ89" s="11"/>
      <c r="CA89" s="11"/>
      <c r="CB89" s="12"/>
      <c r="CC89" s="13"/>
      <c r="CD89" s="14"/>
      <c r="CL89" s="114"/>
      <c r="CM89" s="114"/>
      <c r="CN89" s="115"/>
      <c r="CO89" s="114"/>
      <c r="CP89" s="114" t="s">
        <v>442</v>
      </c>
      <c r="CQ89" s="111">
        <v>44324</v>
      </c>
      <c r="CR89" s="114" t="s">
        <v>529</v>
      </c>
      <c r="CS89" s="84"/>
      <c r="CT89" s="84"/>
      <c r="CU89" s="49"/>
      <c r="CV89" s="48"/>
      <c r="CW89" s="49"/>
      <c r="CX89" s="49"/>
    </row>
    <row r="90" spans="1:102" hidden="1" x14ac:dyDescent="0.25">
      <c r="A90" s="1" t="s">
        <v>163</v>
      </c>
      <c r="B90" s="1" t="s">
        <v>164</v>
      </c>
      <c r="C90" s="1" t="s">
        <v>164</v>
      </c>
      <c r="D90" s="2" t="s">
        <v>58</v>
      </c>
      <c r="E90" s="2" t="s">
        <v>58</v>
      </c>
      <c r="F90" s="3" t="e">
        <f>IF(BE90="S",
IF(#REF!+BM90=2018,
IF(#REF!=1,"18-19/1",
IF(#REF!=2,"18-19/2",
IF(#REF!=3,"19-20/1",
IF(#REF!=4,"19-20/2",
IF(#REF!=5,"20-21/1",
IF(#REF!=6,"20-21/2",
IF(#REF!=7,"21-22/1",
IF(#REF!=8,"21-22/2","Hata1")))))))),
IF(#REF!+BM90=2019,
IF(#REF!=1,"19-20/1",
IF(#REF!=2,"19-20/2",
IF(#REF!=3,"20-21/1",
IF(#REF!=4,"20-21/2",
IF(#REF!=5,"21-22/1",
IF(#REF!=6,"21-22/2",
IF(#REF!=7,"22-23/1",
IF(#REF!=8,"22-23/2","Hata2")))))))),
IF(#REF!+BM90=2020,
IF(#REF!=1,"20-21/1",
IF(#REF!=2,"20-21/2",
IF(#REF!=3,"21-22/1",
IF(#REF!=4,"21-22/2",
IF(#REF!=5,"22-23/1",
IF(#REF!=6,"22-23/2",
IF(#REF!=7,"23-24/1",
IF(#REF!=8,"23-24/2","Hata3")))))))),
IF(#REF!+BM90=2021,
IF(#REF!=1,"21-22/1",
IF(#REF!=2,"21-22/2",
IF(#REF!=3,"22-23/1",
IF(#REF!=4,"22-23/2",
IF(#REF!=5,"23-24/1",
IF(#REF!=6,"23-24/2",
IF(#REF!=7,"24-25/1",
IF(#REF!=8,"24-25/2","Hata4")))))))),
IF(#REF!+BM90=2022,
IF(#REF!=1,"22-23/1",
IF(#REF!=2,"22-23/2",
IF(#REF!=3,"23-24/1",
IF(#REF!=4,"23-24/2",
IF(#REF!=5,"24-25/1",
IF(#REF!=6,"24-25/2",
IF(#REF!=7,"25-26/1",
IF(#REF!=8,"25-26/2","Hata5")))))))),
IF(#REF!+BM90=2023,
IF(#REF!=1,"23-24/1",
IF(#REF!=2,"23-24/2",
IF(#REF!=3,"24-25/1",
IF(#REF!=4,"24-25/2",
IF(#REF!=5,"25-26/1",
IF(#REF!=6,"25-26/2",
IF(#REF!=7,"26-27/1",
IF(#REF!=8,"26-27/2","Hata6")))))))),
)))))),
IF(BE90="T",
IF(#REF!+BM90=2018,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90" s="3">
        <v>0</v>
      </c>
      <c r="I90" s="1" t="s">
        <v>78</v>
      </c>
      <c r="J90" s="1">
        <v>4234784</v>
      </c>
      <c r="L90" s="2">
        <v>1404</v>
      </c>
      <c r="N90" s="2">
        <v>3</v>
      </c>
      <c r="O90" s="6">
        <f t="shared" si="42"/>
        <v>3</v>
      </c>
      <c r="P90" s="2">
        <f t="shared" si="43"/>
        <v>3</v>
      </c>
      <c r="Q90" s="2">
        <v>0</v>
      </c>
      <c r="R90" s="2">
        <v>0</v>
      </c>
      <c r="S90" s="2">
        <v>3</v>
      </c>
      <c r="X90" s="3">
        <v>4</v>
      </c>
      <c r="Y90" s="1">
        <f>VLOOKUP(X90,[14]ölçme_sistemleri!I:L,2,FALSE)</f>
        <v>0</v>
      </c>
      <c r="Z90" s="1">
        <f>VLOOKUP(X90,[14]ölçme_sistemleri!I:L,3,FALSE)</f>
        <v>1</v>
      </c>
      <c r="AA90" s="1">
        <f>VLOOKUP(X90,[14]ölçme_sistemleri!I:L,4,FALSE)</f>
        <v>1</v>
      </c>
      <c r="AB90" s="1">
        <f>$O90*[14]ölçme_sistemleri!J$13</f>
        <v>3</v>
      </c>
      <c r="AC90" s="1">
        <f>$O90*[14]ölçme_sistemleri!K$13</f>
        <v>6</v>
      </c>
      <c r="AD90" s="1">
        <f>$O90*[14]ölçme_sistemleri!L$13</f>
        <v>9</v>
      </c>
      <c r="AE90" s="1">
        <f t="shared" si="44"/>
        <v>0</v>
      </c>
      <c r="AF90" s="1">
        <f t="shared" si="45"/>
        <v>6</v>
      </c>
      <c r="AG90" s="1">
        <f t="shared" si="46"/>
        <v>9</v>
      </c>
      <c r="AH90" s="1">
        <f t="shared" si="47"/>
        <v>15</v>
      </c>
      <c r="AI90" s="1">
        <v>14</v>
      </c>
      <c r="AJ90" s="1">
        <f>VLOOKUP(X90,[14]ölçme_sistemleri!I:M,5,FALSE)</f>
        <v>1</v>
      </c>
      <c r="AK90" s="1">
        <f t="shared" si="48"/>
        <v>210</v>
      </c>
      <c r="AL90" s="1">
        <f>AI90*1</f>
        <v>14</v>
      </c>
      <c r="AM90" s="1">
        <f>VLOOKUP(X90,[14]ölçme_sistemleri!I:N,6,FALSE)</f>
        <v>2</v>
      </c>
      <c r="AN90" s="1">
        <v>2</v>
      </c>
      <c r="AO90" s="1">
        <f t="shared" si="49"/>
        <v>4</v>
      </c>
      <c r="AP90" s="1">
        <v>14</v>
      </c>
      <c r="AQ90" s="1">
        <f t="shared" si="59"/>
        <v>42</v>
      </c>
      <c r="AR90" s="1">
        <f t="shared" si="50"/>
        <v>75</v>
      </c>
      <c r="AS90" s="1">
        <f t="shared" ref="AS90:AS102" si="69">IF(BE90="s",25,30)</f>
        <v>25</v>
      </c>
      <c r="AT90" s="1">
        <f t="shared" si="51"/>
        <v>3</v>
      </c>
      <c r="AU90" s="1">
        <f t="shared" si="60"/>
        <v>0</v>
      </c>
      <c r="AV90" s="1">
        <f t="shared" si="61"/>
        <v>0</v>
      </c>
      <c r="AW90" s="1">
        <f t="shared" si="62"/>
        <v>0</v>
      </c>
      <c r="AX90" s="1">
        <f t="shared" si="63"/>
        <v>0</v>
      </c>
      <c r="AY90" s="1">
        <f t="shared" si="52"/>
        <v>-15</v>
      </c>
      <c r="AZ90" s="1">
        <f t="shared" si="64"/>
        <v>0</v>
      </c>
      <c r="BA90" s="1">
        <f t="shared" si="53"/>
        <v>-14</v>
      </c>
      <c r="BB90" s="1">
        <f t="shared" si="54"/>
        <v>0</v>
      </c>
      <c r="BC90" s="1">
        <f t="shared" si="55"/>
        <v>-4</v>
      </c>
      <c r="BD90" s="1">
        <f t="shared" si="56"/>
        <v>0</v>
      </c>
      <c r="BE90" s="1" t="s">
        <v>65</v>
      </c>
      <c r="BF90" s="1">
        <f t="shared" ref="BF90:BF110" si="70">IF(BL90="A",0,IF(BE90="s",14*O90,IF(BE90="T",11*O90,"HATA")))</f>
        <v>42</v>
      </c>
      <c r="BG90" s="1">
        <f t="shared" ref="BG90:BG110" si="71">IF(BL90="Z",(BF90+BD90)*1.15,(BF90+BD90))</f>
        <v>42</v>
      </c>
      <c r="BH90" s="1">
        <f t="shared" si="58"/>
        <v>1</v>
      </c>
      <c r="BI90" s="1" t="e">
        <f>IF(BH90-#REF!=0,"DOĞRU","YANLIŞ")</f>
        <v>#REF!</v>
      </c>
      <c r="BJ90" s="1" t="e">
        <f>#REF!-BH90</f>
        <v>#REF!</v>
      </c>
      <c r="BK90" s="1">
        <v>0</v>
      </c>
      <c r="BM90" s="1">
        <v>0</v>
      </c>
      <c r="BO90" s="1">
        <v>2</v>
      </c>
      <c r="BT90" s="8">
        <f t="shared" si="66"/>
        <v>0</v>
      </c>
      <c r="BU90" s="9"/>
      <c r="BV90" s="10"/>
      <c r="BW90" s="11"/>
      <c r="BX90" s="11"/>
      <c r="BY90" s="11"/>
      <c r="BZ90" s="11"/>
      <c r="CA90" s="11"/>
      <c r="CB90" s="12"/>
      <c r="CC90" s="13"/>
      <c r="CD90" s="14"/>
      <c r="CL90" s="11"/>
      <c r="CM90" s="11"/>
      <c r="CN90" s="11"/>
      <c r="CO90" s="11"/>
      <c r="CP90" s="50"/>
      <c r="CQ90" s="54"/>
      <c r="CR90" s="61"/>
      <c r="CS90" s="48"/>
      <c r="CT90" s="48"/>
      <c r="CU90" s="48"/>
      <c r="CV90" s="48"/>
      <c r="CW90" s="49"/>
      <c r="CX90" s="49"/>
    </row>
    <row r="91" spans="1:102" hidden="1" x14ac:dyDescent="0.25">
      <c r="A91" s="1" t="s">
        <v>159</v>
      </c>
      <c r="B91" s="1" t="s">
        <v>160</v>
      </c>
      <c r="C91" s="1" t="s">
        <v>160</v>
      </c>
      <c r="D91" s="2" t="s">
        <v>63</v>
      </c>
      <c r="E91" s="2" t="s">
        <v>63</v>
      </c>
      <c r="F91" s="3" t="e">
        <f>IF(BE91="S",
IF(#REF!+BM91=2018,
IF(#REF!=1,"18-19/1",
IF(#REF!=2,"18-19/2",
IF(#REF!=3,"19-20/1",
IF(#REF!=4,"19-20/2",
IF(#REF!=5,"20-21/1",
IF(#REF!=6,"20-21/2",
IF(#REF!=7,"21-22/1",
IF(#REF!=8,"21-22/2","Hata1")))))))),
IF(#REF!+BM91=2019,
IF(#REF!=1,"19-20/1",
IF(#REF!=2,"19-20/2",
IF(#REF!=3,"20-21/1",
IF(#REF!=4,"20-21/2",
IF(#REF!=5,"21-22/1",
IF(#REF!=6,"21-22/2",
IF(#REF!=7,"22-23/1",
IF(#REF!=8,"22-23/2","Hata2")))))))),
IF(#REF!+BM91=2020,
IF(#REF!=1,"20-21/1",
IF(#REF!=2,"20-21/2",
IF(#REF!=3,"21-22/1",
IF(#REF!=4,"21-22/2",
IF(#REF!=5,"22-23/1",
IF(#REF!=6,"22-23/2",
IF(#REF!=7,"23-24/1",
IF(#REF!=8,"23-24/2","Hata3")))))))),
IF(#REF!+BM91=2021,
IF(#REF!=1,"21-22/1",
IF(#REF!=2,"21-22/2",
IF(#REF!=3,"22-23/1",
IF(#REF!=4,"22-23/2",
IF(#REF!=5,"23-24/1",
IF(#REF!=6,"23-24/2",
IF(#REF!=7,"24-25/1",
IF(#REF!=8,"24-25/2","Hata4")))))))),
IF(#REF!+BM91=2022,
IF(#REF!=1,"22-23/1",
IF(#REF!=2,"22-23/2",
IF(#REF!=3,"23-24/1",
IF(#REF!=4,"23-24/2",
IF(#REF!=5,"24-25/1",
IF(#REF!=6,"24-25/2",
IF(#REF!=7,"25-26/1",
IF(#REF!=8,"25-26/2","Hata5")))))))),
IF(#REF!+BM91=2023,
IF(#REF!=1,"23-24/1",
IF(#REF!=2,"23-24/2",
IF(#REF!=3,"24-25/1",
IF(#REF!=4,"24-25/2",
IF(#REF!=5,"25-26/1",
IF(#REF!=6,"25-26/2",
IF(#REF!=7,"26-27/1",
IF(#REF!=8,"26-27/2","Hata6")))))))),
)))))),
IF(BE91="T",
IF(#REF!+BM91=2018,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1" s="1" t="s">
        <v>78</v>
      </c>
      <c r="J91" s="1">
        <v>4234784</v>
      </c>
      <c r="L91" s="2">
        <v>3460</v>
      </c>
      <c r="N91" s="2">
        <v>5</v>
      </c>
      <c r="O91" s="6">
        <f t="shared" si="42"/>
        <v>3</v>
      </c>
      <c r="P91" s="2">
        <f t="shared" si="43"/>
        <v>3</v>
      </c>
      <c r="Q91" s="2">
        <v>0</v>
      </c>
      <c r="R91" s="2">
        <v>0</v>
      </c>
      <c r="S91" s="2">
        <v>3</v>
      </c>
      <c r="X91" s="3">
        <v>3</v>
      </c>
      <c r="Y91" s="1">
        <f>VLOOKUP(X91,[13]ölçme_sistemleri!I:L,2,FALSE)</f>
        <v>2</v>
      </c>
      <c r="Z91" s="1">
        <f>VLOOKUP(X91,[13]ölçme_sistemleri!I:L,3,FALSE)</f>
        <v>1</v>
      </c>
      <c r="AA91" s="1">
        <f>VLOOKUP(X91,[13]ölçme_sistemleri!I:L,4,FALSE)</f>
        <v>1</v>
      </c>
      <c r="AB91" s="1">
        <f>$O91*[13]ölçme_sistemleri!J$13</f>
        <v>3</v>
      </c>
      <c r="AC91" s="1">
        <f>$O91*[13]ölçme_sistemleri!K$13</f>
        <v>6</v>
      </c>
      <c r="AD91" s="1">
        <f>$O91*[13]ölçme_sistemleri!L$13</f>
        <v>9</v>
      </c>
      <c r="AE91" s="1">
        <f t="shared" si="44"/>
        <v>6</v>
      </c>
      <c r="AF91" s="1">
        <f t="shared" si="45"/>
        <v>6</v>
      </c>
      <c r="AG91" s="1">
        <f t="shared" si="46"/>
        <v>9</v>
      </c>
      <c r="AH91" s="1">
        <f t="shared" si="47"/>
        <v>21</v>
      </c>
      <c r="AI91" s="1">
        <v>14</v>
      </c>
      <c r="AJ91" s="1">
        <f>VLOOKUP(X91,[13]ölçme_sistemleri!I:M,5,FALSE)</f>
        <v>3</v>
      </c>
      <c r="AK91" s="1">
        <f t="shared" si="48"/>
        <v>294</v>
      </c>
      <c r="AL91" s="1">
        <f>(Q91+S91)*AI91</f>
        <v>42</v>
      </c>
      <c r="AM91" s="1">
        <f>VLOOKUP(X91,[13]ölçme_sistemleri!I:N,6,FALSE)</f>
        <v>4</v>
      </c>
      <c r="AN91" s="1">
        <v>2</v>
      </c>
      <c r="AO91" s="1">
        <f t="shared" si="49"/>
        <v>8</v>
      </c>
      <c r="AP91" s="1">
        <v>14</v>
      </c>
      <c r="AQ91" s="1">
        <f t="shared" si="59"/>
        <v>42</v>
      </c>
      <c r="AR91" s="1">
        <f t="shared" si="50"/>
        <v>113</v>
      </c>
      <c r="AS91" s="1">
        <f t="shared" si="69"/>
        <v>25</v>
      </c>
      <c r="AT91" s="1">
        <f t="shared" si="51"/>
        <v>5</v>
      </c>
      <c r="AU91" s="1">
        <f t="shared" si="60"/>
        <v>0</v>
      </c>
      <c r="AV91" s="1">
        <f t="shared" si="61"/>
        <v>0</v>
      </c>
      <c r="AW91" s="1">
        <f t="shared" si="62"/>
        <v>0</v>
      </c>
      <c r="AX91" s="1">
        <f t="shared" si="63"/>
        <v>0</v>
      </c>
      <c r="AY91" s="1">
        <f t="shared" si="52"/>
        <v>-21</v>
      </c>
      <c r="AZ91" s="1">
        <f t="shared" si="64"/>
        <v>0</v>
      </c>
      <c r="BA91" s="1">
        <f t="shared" si="53"/>
        <v>-42</v>
      </c>
      <c r="BB91" s="1">
        <f t="shared" si="54"/>
        <v>0</v>
      </c>
      <c r="BC91" s="1">
        <f t="shared" si="55"/>
        <v>-8</v>
      </c>
      <c r="BD91" s="1">
        <f t="shared" si="56"/>
        <v>0</v>
      </c>
      <c r="BE91" s="1" t="s">
        <v>65</v>
      </c>
      <c r="BF91" s="1">
        <f t="shared" si="70"/>
        <v>42</v>
      </c>
      <c r="BG91" s="1">
        <f t="shared" si="71"/>
        <v>42</v>
      </c>
      <c r="BH91" s="1">
        <f t="shared" si="58"/>
        <v>1</v>
      </c>
      <c r="BI91" s="1" t="e">
        <f>IF(BH91-#REF!=0,"DOĞRU","YANLIŞ")</f>
        <v>#REF!</v>
      </c>
      <c r="BJ91" s="1" t="e">
        <f>#REF!-BH91</f>
        <v>#REF!</v>
      </c>
      <c r="BK91" s="1">
        <v>0</v>
      </c>
      <c r="BM91" s="1">
        <v>0</v>
      </c>
      <c r="BO91" s="1">
        <v>2</v>
      </c>
      <c r="BT91" s="8">
        <f t="shared" si="66"/>
        <v>0</v>
      </c>
      <c r="BU91" s="9"/>
      <c r="BV91" s="10"/>
      <c r="BW91" s="11"/>
      <c r="BX91" s="11"/>
      <c r="BY91" s="11"/>
      <c r="BZ91" s="11"/>
      <c r="CA91" s="11"/>
      <c r="CB91" s="12"/>
      <c r="CC91" s="13"/>
      <c r="CD91" s="14"/>
      <c r="CL91" s="11"/>
      <c r="CM91" s="50"/>
      <c r="CN91" s="50"/>
      <c r="CO91" s="11"/>
      <c r="CP91" s="50"/>
      <c r="CQ91" s="54"/>
      <c r="CR91" s="46"/>
      <c r="CS91" s="54"/>
      <c r="CT91" s="48"/>
      <c r="CU91" s="48"/>
      <c r="CV91" s="48"/>
      <c r="CW91" s="49"/>
      <c r="CX91" s="49"/>
    </row>
    <row r="92" spans="1:102" hidden="1" x14ac:dyDescent="0.25">
      <c r="A92" s="1" t="s">
        <v>169</v>
      </c>
      <c r="B92" s="1" t="s">
        <v>170</v>
      </c>
      <c r="C92" s="1" t="s">
        <v>170</v>
      </c>
      <c r="D92" s="2" t="s">
        <v>58</v>
      </c>
      <c r="E92" s="2" t="s">
        <v>58</v>
      </c>
      <c r="F92" s="3" t="e">
        <f>IF(BE92="S",
IF(#REF!+BM92=2018,
IF(#REF!=1,"18-19/1",
IF(#REF!=2,"18-19/2",
IF(#REF!=3,"19-20/1",
IF(#REF!=4,"19-20/2",
IF(#REF!=5,"20-21/1",
IF(#REF!=6,"20-21/2",
IF(#REF!=7,"21-22/1",
IF(#REF!=8,"21-22/2","Hata1")))))))),
IF(#REF!+BM92=2019,
IF(#REF!=1,"19-20/1",
IF(#REF!=2,"19-20/2",
IF(#REF!=3,"20-21/1",
IF(#REF!=4,"20-21/2",
IF(#REF!=5,"21-22/1",
IF(#REF!=6,"21-22/2",
IF(#REF!=7,"22-23/1",
IF(#REF!=8,"22-23/2","Hata2")))))))),
IF(#REF!+BM92=2020,
IF(#REF!=1,"20-21/1",
IF(#REF!=2,"20-21/2",
IF(#REF!=3,"21-22/1",
IF(#REF!=4,"21-22/2",
IF(#REF!=5,"22-23/1",
IF(#REF!=6,"22-23/2",
IF(#REF!=7,"23-24/1",
IF(#REF!=8,"23-24/2","Hata3")))))))),
IF(#REF!+BM92=2021,
IF(#REF!=1,"21-22/1",
IF(#REF!=2,"21-22/2",
IF(#REF!=3,"22-23/1",
IF(#REF!=4,"22-23/2",
IF(#REF!=5,"23-24/1",
IF(#REF!=6,"23-24/2",
IF(#REF!=7,"24-25/1",
IF(#REF!=8,"24-25/2","Hata4")))))))),
IF(#REF!+BM92=2022,
IF(#REF!=1,"22-23/1",
IF(#REF!=2,"22-23/2",
IF(#REF!=3,"23-24/1",
IF(#REF!=4,"23-24/2",
IF(#REF!=5,"24-25/1",
IF(#REF!=6,"24-25/2",
IF(#REF!=7,"25-26/1",
IF(#REF!=8,"25-26/2","Hata5")))))))),
IF(#REF!+BM92=2023,
IF(#REF!=1,"23-24/1",
IF(#REF!=2,"23-24/2",
IF(#REF!=3,"24-25/1",
IF(#REF!=4,"24-25/2",
IF(#REF!=5,"25-26/1",
IF(#REF!=6,"25-26/2",
IF(#REF!=7,"26-27/1",
IF(#REF!=8,"26-27/2","Hata6")))))))),
)))))),
IF(BE92="T",
IF(#REF!+BM92=2018,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2" s="1" t="s">
        <v>78</v>
      </c>
      <c r="J92" s="1">
        <v>4234784</v>
      </c>
      <c r="L92" s="2">
        <v>1632</v>
      </c>
      <c r="N92" s="2">
        <v>3</v>
      </c>
      <c r="O92" s="6">
        <f t="shared" si="42"/>
        <v>2</v>
      </c>
      <c r="P92" s="2">
        <f t="shared" si="43"/>
        <v>2</v>
      </c>
      <c r="Q92" s="2">
        <v>0</v>
      </c>
      <c r="R92" s="2">
        <v>0</v>
      </c>
      <c r="S92" s="2">
        <v>2</v>
      </c>
      <c r="X92" s="3">
        <v>4</v>
      </c>
      <c r="Y92" s="1">
        <f>VLOOKUP(X92,[14]ölçme_sistemleri!I:L,2,FALSE)</f>
        <v>0</v>
      </c>
      <c r="Z92" s="1">
        <f>VLOOKUP(X92,[14]ölçme_sistemleri!I:L,3,FALSE)</f>
        <v>1</v>
      </c>
      <c r="AA92" s="1">
        <f>VLOOKUP(X92,[14]ölçme_sistemleri!I:L,4,FALSE)</f>
        <v>1</v>
      </c>
      <c r="AB92" s="1">
        <f>$O92*[14]ölçme_sistemleri!J$13</f>
        <v>2</v>
      </c>
      <c r="AC92" s="1">
        <f>$O92*[14]ölçme_sistemleri!K$13</f>
        <v>4</v>
      </c>
      <c r="AD92" s="1">
        <f>$O92*[14]ölçme_sistemleri!L$13</f>
        <v>6</v>
      </c>
      <c r="AE92" s="1">
        <f t="shared" si="44"/>
        <v>0</v>
      </c>
      <c r="AF92" s="1">
        <f t="shared" si="45"/>
        <v>4</v>
      </c>
      <c r="AG92" s="1">
        <f t="shared" si="46"/>
        <v>6</v>
      </c>
      <c r="AH92" s="1">
        <f t="shared" si="47"/>
        <v>10</v>
      </c>
      <c r="AI92" s="1">
        <v>14</v>
      </c>
      <c r="AJ92" s="1">
        <f>VLOOKUP(X92,[14]ölçme_sistemleri!I:M,5,FALSE)</f>
        <v>1</v>
      </c>
      <c r="AK92" s="1">
        <f t="shared" si="48"/>
        <v>140</v>
      </c>
      <c r="AL92" s="1">
        <f>(Q92+S92)*AI92</f>
        <v>28</v>
      </c>
      <c r="AM92" s="1">
        <f>VLOOKUP(X92,[14]ölçme_sistemleri!I:N,6,FALSE)</f>
        <v>2</v>
      </c>
      <c r="AN92" s="1">
        <v>2</v>
      </c>
      <c r="AO92" s="1">
        <f t="shared" si="49"/>
        <v>4</v>
      </c>
      <c r="AP92" s="1">
        <v>14</v>
      </c>
      <c r="AQ92" s="1">
        <f t="shared" si="59"/>
        <v>28</v>
      </c>
      <c r="AR92" s="1">
        <f t="shared" si="50"/>
        <v>70</v>
      </c>
      <c r="AS92" s="1">
        <f t="shared" si="69"/>
        <v>25</v>
      </c>
      <c r="AT92" s="1">
        <f t="shared" si="51"/>
        <v>3</v>
      </c>
      <c r="AU92" s="1">
        <f t="shared" si="60"/>
        <v>0</v>
      </c>
      <c r="AV92" s="1">
        <f t="shared" si="61"/>
        <v>0</v>
      </c>
      <c r="AW92" s="1">
        <f t="shared" si="62"/>
        <v>0</v>
      </c>
      <c r="AX92" s="1">
        <f t="shared" si="63"/>
        <v>0</v>
      </c>
      <c r="AY92" s="1">
        <f t="shared" si="52"/>
        <v>-10</v>
      </c>
      <c r="AZ92" s="1">
        <f t="shared" si="64"/>
        <v>0</v>
      </c>
      <c r="BA92" s="1">
        <f t="shared" si="53"/>
        <v>-28</v>
      </c>
      <c r="BB92" s="1">
        <f t="shared" ref="BB92:BB122" si="72">IF(BE92="s",
IF(W92=0,0,
IF(W92=1,4*5,
IF(W92=2,4*3,
IF(W92=3,4*4,
IF(W92=4,4*2,
IF(W92=5,4,
IF(W92=6,4/2,
IF(W92=7,4*2,)))))))),
IF(BE92="t",
IF(W92=0,0,
IF(W92=1,4*5,
IF(W92=2,4*3,
IF(W92=3,4*4,
IF(W92=4,4*2,
IF(W92=5,4,
IF(W92=6,4/2,
IF(W92=7,4*2))))))))))</f>
        <v>0</v>
      </c>
      <c r="BC92" s="1">
        <f t="shared" si="55"/>
        <v>-4</v>
      </c>
      <c r="BD92" s="1">
        <f t="shared" si="56"/>
        <v>0</v>
      </c>
      <c r="BE92" s="1" t="s">
        <v>65</v>
      </c>
      <c r="BF92" s="1">
        <f t="shared" si="70"/>
        <v>28</v>
      </c>
      <c r="BG92" s="1">
        <f t="shared" si="71"/>
        <v>28</v>
      </c>
      <c r="BH92" s="1">
        <f t="shared" si="58"/>
        <v>1</v>
      </c>
      <c r="BI92" s="1" t="e">
        <f>IF(BH92-#REF!=0,"DOĞRU","YANLIŞ")</f>
        <v>#REF!</v>
      </c>
      <c r="BJ92" s="1" t="e">
        <f>#REF!-BH92</f>
        <v>#REF!</v>
      </c>
      <c r="BK92" s="1">
        <v>0</v>
      </c>
      <c r="BM92" s="1">
        <v>0</v>
      </c>
      <c r="BO92" s="1">
        <v>2</v>
      </c>
      <c r="BT92" s="8">
        <f t="shared" si="66"/>
        <v>0</v>
      </c>
      <c r="BU92" s="9"/>
      <c r="BV92" s="10"/>
      <c r="BW92" s="11"/>
      <c r="BX92" s="11"/>
      <c r="BY92" s="11"/>
      <c r="BZ92" s="11"/>
      <c r="CA92" s="11"/>
      <c r="CB92" s="12"/>
      <c r="CC92" s="13"/>
      <c r="CD92" s="14"/>
      <c r="CL92" s="11"/>
      <c r="CM92" s="11"/>
      <c r="CN92" s="11"/>
      <c r="CO92" s="11"/>
      <c r="CP92" s="11"/>
      <c r="CQ92" s="54"/>
      <c r="CR92" s="46"/>
      <c r="CS92" s="48"/>
      <c r="CT92" s="48"/>
      <c r="CU92" s="48"/>
      <c r="CV92" s="48"/>
      <c r="CW92" s="49"/>
      <c r="CX92" s="49"/>
    </row>
    <row r="93" spans="1:102" hidden="1" x14ac:dyDescent="0.25">
      <c r="A93" s="1" t="s">
        <v>125</v>
      </c>
      <c r="B93" s="1" t="s">
        <v>126</v>
      </c>
      <c r="C93" s="1" t="s">
        <v>126</v>
      </c>
      <c r="D93" s="2" t="s">
        <v>63</v>
      </c>
      <c r="E93" s="2" t="s">
        <v>63</v>
      </c>
      <c r="F93" s="3" t="e">
        <f>IF(BE93="S",
IF(#REF!+BM93=2018,
IF(#REF!=1,"18-19/1",
IF(#REF!=2,"18-19/2",
IF(#REF!=3,"19-20/1",
IF(#REF!=4,"19-20/2",
IF(#REF!=5,"20-21/1",
IF(#REF!=6,"20-21/2",
IF(#REF!=7,"21-22/1",
IF(#REF!=8,"21-22/2","Hata1")))))))),
IF(#REF!+BM93=2019,
IF(#REF!=1,"19-20/1",
IF(#REF!=2,"19-20/2",
IF(#REF!=3,"20-21/1",
IF(#REF!=4,"20-21/2",
IF(#REF!=5,"21-22/1",
IF(#REF!=6,"21-22/2",
IF(#REF!=7,"22-23/1",
IF(#REF!=8,"22-23/2","Hata2")))))))),
IF(#REF!+BM93=2020,
IF(#REF!=1,"20-21/1",
IF(#REF!=2,"20-21/2",
IF(#REF!=3,"21-22/1",
IF(#REF!=4,"21-22/2",
IF(#REF!=5,"22-23/1",
IF(#REF!=6,"22-23/2",
IF(#REF!=7,"23-24/1",
IF(#REF!=8,"23-24/2","Hata3")))))))),
IF(#REF!+BM93=2021,
IF(#REF!=1,"21-22/1",
IF(#REF!=2,"21-22/2",
IF(#REF!=3,"22-23/1",
IF(#REF!=4,"22-23/2",
IF(#REF!=5,"23-24/1",
IF(#REF!=6,"23-24/2",
IF(#REF!=7,"24-25/1",
IF(#REF!=8,"24-25/2","Hata4")))))))),
IF(#REF!+BM93=2022,
IF(#REF!=1,"22-23/1",
IF(#REF!=2,"22-23/2",
IF(#REF!=3,"23-24/1",
IF(#REF!=4,"23-24/2",
IF(#REF!=5,"24-25/1",
IF(#REF!=6,"24-25/2",
IF(#REF!=7,"25-26/1",
IF(#REF!=8,"25-26/2","Hata5")))))))),
IF(#REF!+BM93=2023,
IF(#REF!=1,"23-24/1",
IF(#REF!=2,"23-24/2",
IF(#REF!=3,"24-25/1",
IF(#REF!=4,"24-25/2",
IF(#REF!=5,"25-26/1",
IF(#REF!=6,"25-26/2",
IF(#REF!=7,"26-27/1",
IF(#REF!=8,"26-27/2","Hata6")))))))),
)))))),
IF(BE93="T",
IF(#REF!+BM93=2018,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3" s="1" t="s">
        <v>78</v>
      </c>
      <c r="J93" s="1">
        <v>4234784</v>
      </c>
      <c r="L93" s="2">
        <v>1681</v>
      </c>
      <c r="N93" s="2">
        <v>4</v>
      </c>
      <c r="O93" s="6">
        <f t="shared" si="42"/>
        <v>3</v>
      </c>
      <c r="P93" s="2">
        <f t="shared" si="43"/>
        <v>3</v>
      </c>
      <c r="Q93" s="2">
        <v>3</v>
      </c>
      <c r="R93" s="2">
        <v>0</v>
      </c>
      <c r="S93" s="2">
        <v>0</v>
      </c>
      <c r="X93" s="3">
        <v>2</v>
      </c>
      <c r="Y93" s="1">
        <f>VLOOKUP(X93,[12]ölçme_sistemleri!I:L,2,FALSE)</f>
        <v>0</v>
      </c>
      <c r="Z93" s="1">
        <f>VLOOKUP(X93,[12]ölçme_sistemleri!I:L,3,FALSE)</f>
        <v>2</v>
      </c>
      <c r="AA93" s="1">
        <f>VLOOKUP(X93,[12]ölçme_sistemleri!I:L,4,FALSE)</f>
        <v>1</v>
      </c>
      <c r="AB93" s="1">
        <f>$O93*[12]ölçme_sistemleri!J$13</f>
        <v>3</v>
      </c>
      <c r="AC93" s="1">
        <f>$O93*[12]ölçme_sistemleri!K$13</f>
        <v>6</v>
      </c>
      <c r="AD93" s="1">
        <f>$O93*[12]ölçme_sistemleri!L$13</f>
        <v>9</v>
      </c>
      <c r="AE93" s="1">
        <f t="shared" si="44"/>
        <v>0</v>
      </c>
      <c r="AF93" s="1">
        <f t="shared" si="45"/>
        <v>12</v>
      </c>
      <c r="AG93" s="1">
        <f t="shared" si="46"/>
        <v>9</v>
      </c>
      <c r="AH93" s="1">
        <f t="shared" si="47"/>
        <v>21</v>
      </c>
      <c r="AI93" s="1">
        <v>14</v>
      </c>
      <c r="AJ93" s="1">
        <f>VLOOKUP(X93,[12]ölçme_sistemleri!I:M,5,FALSE)</f>
        <v>2</v>
      </c>
      <c r="AK93" s="1">
        <f t="shared" si="48"/>
        <v>294</v>
      </c>
      <c r="AL93" s="1">
        <f>(Q93+S93)*AI93</f>
        <v>42</v>
      </c>
      <c r="AM93" s="1">
        <f>VLOOKUP(X93,[12]ölçme_sistemleri!I:N,6,FALSE)</f>
        <v>3</v>
      </c>
      <c r="AN93" s="1">
        <v>2</v>
      </c>
      <c r="AO93" s="1">
        <f t="shared" si="49"/>
        <v>6</v>
      </c>
      <c r="AP93" s="1">
        <v>14</v>
      </c>
      <c r="AQ93" s="1">
        <f t="shared" si="59"/>
        <v>42</v>
      </c>
      <c r="AR93" s="1">
        <f t="shared" si="50"/>
        <v>111</v>
      </c>
      <c r="AS93" s="1">
        <f t="shared" si="69"/>
        <v>25</v>
      </c>
      <c r="AT93" s="1">
        <f t="shared" si="51"/>
        <v>4</v>
      </c>
      <c r="AU93" s="1">
        <f t="shared" si="60"/>
        <v>0</v>
      </c>
      <c r="AV93" s="1">
        <f t="shared" si="61"/>
        <v>0</v>
      </c>
      <c r="AW93" s="1">
        <f t="shared" si="62"/>
        <v>0</v>
      </c>
      <c r="AX93" s="1">
        <f t="shared" si="63"/>
        <v>0</v>
      </c>
      <c r="AY93" s="1">
        <f t="shared" si="52"/>
        <v>-21</v>
      </c>
      <c r="AZ93" s="1">
        <f t="shared" si="64"/>
        <v>0</v>
      </c>
      <c r="BA93" s="1">
        <f t="shared" si="53"/>
        <v>-42</v>
      </c>
      <c r="BB93" s="1">
        <f t="shared" si="72"/>
        <v>0</v>
      </c>
      <c r="BC93" s="1">
        <f t="shared" si="55"/>
        <v>-6</v>
      </c>
      <c r="BD93" s="1">
        <f t="shared" si="56"/>
        <v>0</v>
      </c>
      <c r="BE93" s="1" t="s">
        <v>65</v>
      </c>
      <c r="BF93" s="1">
        <f t="shared" si="70"/>
        <v>42</v>
      </c>
      <c r="BG93" s="1">
        <f t="shared" si="71"/>
        <v>42</v>
      </c>
      <c r="BH93" s="1">
        <f t="shared" si="58"/>
        <v>1</v>
      </c>
      <c r="BI93" s="1" t="e">
        <f>IF(BH93-#REF!=0,"DOĞRU","YANLIŞ")</f>
        <v>#REF!</v>
      </c>
      <c r="BJ93" s="1" t="e">
        <f>#REF!-BH93</f>
        <v>#REF!</v>
      </c>
      <c r="BK93" s="1">
        <v>0</v>
      </c>
      <c r="BM93" s="1">
        <v>0</v>
      </c>
      <c r="BO93" s="1">
        <v>2</v>
      </c>
      <c r="BT93" s="8">
        <f t="shared" si="66"/>
        <v>0</v>
      </c>
      <c r="BU93" s="9"/>
      <c r="BV93" s="10"/>
      <c r="BW93" s="11"/>
      <c r="BX93" s="11"/>
      <c r="BY93" s="11"/>
      <c r="BZ93" s="11"/>
      <c r="CA93" s="11"/>
      <c r="CB93" s="12"/>
      <c r="CC93" s="13"/>
      <c r="CD93" s="14"/>
      <c r="CL93" s="11"/>
      <c r="CM93" s="50"/>
      <c r="CN93" s="50"/>
      <c r="CO93" s="50"/>
      <c r="CP93" s="11"/>
      <c r="CQ93" s="51"/>
      <c r="CR93" s="57"/>
      <c r="CS93" s="54"/>
      <c r="CT93" s="53"/>
      <c r="CU93" s="53"/>
      <c r="CV93" s="53"/>
      <c r="CW93" s="49"/>
      <c r="CX93" s="49"/>
    </row>
    <row r="94" spans="1:102" hidden="1" x14ac:dyDescent="0.25">
      <c r="A94" s="1" t="s">
        <v>173</v>
      </c>
      <c r="B94" s="1" t="s">
        <v>174</v>
      </c>
      <c r="C94" s="1" t="s">
        <v>174</v>
      </c>
      <c r="D94" s="2" t="s">
        <v>63</v>
      </c>
      <c r="E94" s="2" t="s">
        <v>63</v>
      </c>
      <c r="F94" s="3" t="e">
        <f>IF(BE94="S",
IF(#REF!+BM94=2018,
IF(#REF!=1,"18-19/1",
IF(#REF!=2,"18-19/2",
IF(#REF!=3,"19-20/1",
IF(#REF!=4,"19-20/2",
IF(#REF!=5,"20-21/1",
IF(#REF!=6,"20-21/2",
IF(#REF!=7,"21-22/1",
IF(#REF!=8,"21-22/2","Hata1")))))))),
IF(#REF!+BM94=2019,
IF(#REF!=1,"19-20/1",
IF(#REF!=2,"19-20/2",
IF(#REF!=3,"20-21/1",
IF(#REF!=4,"20-21/2",
IF(#REF!=5,"21-22/1",
IF(#REF!=6,"21-22/2",
IF(#REF!=7,"22-23/1",
IF(#REF!=8,"22-23/2","Hata2")))))))),
IF(#REF!+BM94=2020,
IF(#REF!=1,"20-21/1",
IF(#REF!=2,"20-21/2",
IF(#REF!=3,"21-22/1",
IF(#REF!=4,"21-22/2",
IF(#REF!=5,"22-23/1",
IF(#REF!=6,"22-23/2",
IF(#REF!=7,"23-24/1",
IF(#REF!=8,"23-24/2","Hata3")))))))),
IF(#REF!+BM94=2021,
IF(#REF!=1,"21-22/1",
IF(#REF!=2,"21-22/2",
IF(#REF!=3,"22-23/1",
IF(#REF!=4,"22-23/2",
IF(#REF!=5,"23-24/1",
IF(#REF!=6,"23-24/2",
IF(#REF!=7,"24-25/1",
IF(#REF!=8,"24-25/2","Hata4")))))))),
IF(#REF!+BM94=2022,
IF(#REF!=1,"22-23/1",
IF(#REF!=2,"22-23/2",
IF(#REF!=3,"23-24/1",
IF(#REF!=4,"23-24/2",
IF(#REF!=5,"24-25/1",
IF(#REF!=6,"24-25/2",
IF(#REF!=7,"25-26/1",
IF(#REF!=8,"25-26/2","Hata5")))))))),
IF(#REF!+BM94=2023,
IF(#REF!=1,"23-24/1",
IF(#REF!=2,"23-24/2",
IF(#REF!=3,"24-25/1",
IF(#REF!=4,"24-25/2",
IF(#REF!=5,"25-26/1",
IF(#REF!=6,"25-26/2",
IF(#REF!=7,"26-27/1",
IF(#REF!=8,"26-27/2","Hata6")))))))),
)))))),
IF(BE94="T",
IF(#REF!+BM94=2018,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4" s="1" t="s">
        <v>78</v>
      </c>
      <c r="J94" s="1">
        <v>4234784</v>
      </c>
      <c r="L94" s="2">
        <v>1892</v>
      </c>
      <c r="N94" s="2">
        <v>3</v>
      </c>
      <c r="O94" s="6">
        <f t="shared" si="42"/>
        <v>2.5</v>
      </c>
      <c r="P94" s="2">
        <f t="shared" si="43"/>
        <v>3</v>
      </c>
      <c r="Q94" s="2">
        <v>2</v>
      </c>
      <c r="R94" s="2">
        <v>1</v>
      </c>
      <c r="S94" s="2">
        <v>0</v>
      </c>
      <c r="X94" s="3">
        <v>4</v>
      </c>
      <c r="Y94" s="1">
        <f>VLOOKUP(X94,[14]ölçme_sistemleri!I:L,2,FALSE)</f>
        <v>0</v>
      </c>
      <c r="Z94" s="1">
        <f>VLOOKUP(X94,[14]ölçme_sistemleri!I:L,3,FALSE)</f>
        <v>1</v>
      </c>
      <c r="AA94" s="1">
        <f>VLOOKUP(X94,[14]ölçme_sistemleri!I:L,4,FALSE)</f>
        <v>1</v>
      </c>
      <c r="AB94" s="1">
        <f>$O94*[14]ölçme_sistemleri!J$13</f>
        <v>2.5</v>
      </c>
      <c r="AC94" s="1">
        <f>$O94*[14]ölçme_sistemleri!K$13</f>
        <v>5</v>
      </c>
      <c r="AD94" s="1">
        <f>$O94*[14]ölçme_sistemleri!L$13</f>
        <v>7.5</v>
      </c>
      <c r="AE94" s="1">
        <f t="shared" si="44"/>
        <v>0</v>
      </c>
      <c r="AF94" s="1">
        <f t="shared" si="45"/>
        <v>5</v>
      </c>
      <c r="AG94" s="1">
        <f t="shared" si="46"/>
        <v>7.5</v>
      </c>
      <c r="AH94" s="1">
        <f t="shared" si="47"/>
        <v>12.5</v>
      </c>
      <c r="AI94" s="1">
        <v>14</v>
      </c>
      <c r="AJ94" s="1">
        <f>VLOOKUP(X94,[14]ölçme_sistemleri!I:M,5,FALSE)</f>
        <v>1</v>
      </c>
      <c r="AK94" s="1">
        <f t="shared" si="48"/>
        <v>175</v>
      </c>
      <c r="AL94" s="1">
        <f>(Q94+S94)*AI94</f>
        <v>28</v>
      </c>
      <c r="AM94" s="1">
        <f>VLOOKUP(X94,[14]ölçme_sistemleri!I:N,6,FALSE)</f>
        <v>2</v>
      </c>
      <c r="AN94" s="1">
        <v>2</v>
      </c>
      <c r="AO94" s="1">
        <f t="shared" si="49"/>
        <v>4</v>
      </c>
      <c r="AP94" s="1">
        <v>14</v>
      </c>
      <c r="AQ94" s="1">
        <f t="shared" si="59"/>
        <v>42</v>
      </c>
      <c r="AR94" s="1">
        <f t="shared" si="50"/>
        <v>86.5</v>
      </c>
      <c r="AS94" s="1">
        <f t="shared" si="69"/>
        <v>25</v>
      </c>
      <c r="AT94" s="1">
        <f t="shared" si="51"/>
        <v>3</v>
      </c>
      <c r="AU94" s="1">
        <f t="shared" si="60"/>
        <v>0</v>
      </c>
      <c r="AV94" s="1">
        <f t="shared" si="61"/>
        <v>0</v>
      </c>
      <c r="AW94" s="1">
        <f t="shared" si="62"/>
        <v>0</v>
      </c>
      <c r="AX94" s="1">
        <f t="shared" si="63"/>
        <v>0</v>
      </c>
      <c r="AY94" s="1">
        <f t="shared" si="52"/>
        <v>-12.5</v>
      </c>
      <c r="AZ94" s="1">
        <f t="shared" si="64"/>
        <v>0</v>
      </c>
      <c r="BA94" s="1">
        <f t="shared" si="53"/>
        <v>-28</v>
      </c>
      <c r="BB94" s="1">
        <f t="shared" si="72"/>
        <v>0</v>
      </c>
      <c r="BC94" s="1">
        <f t="shared" si="55"/>
        <v>-4</v>
      </c>
      <c r="BD94" s="1">
        <f t="shared" si="56"/>
        <v>0</v>
      </c>
      <c r="BE94" s="1" t="s">
        <v>65</v>
      </c>
      <c r="BF94" s="1">
        <f t="shared" si="70"/>
        <v>35</v>
      </c>
      <c r="BG94" s="1">
        <f t="shared" si="71"/>
        <v>35</v>
      </c>
      <c r="BH94" s="1">
        <f t="shared" si="58"/>
        <v>1</v>
      </c>
      <c r="BI94" s="1" t="e">
        <f>IF(BH94-#REF!=0,"DOĞRU","YANLIŞ")</f>
        <v>#REF!</v>
      </c>
      <c r="BJ94" s="1" t="e">
        <f>#REF!-BH94</f>
        <v>#REF!</v>
      </c>
      <c r="BK94" s="1">
        <v>0</v>
      </c>
      <c r="BM94" s="1">
        <v>0</v>
      </c>
      <c r="BO94" s="1">
        <v>0</v>
      </c>
      <c r="BT94" s="8">
        <f t="shared" si="66"/>
        <v>14</v>
      </c>
      <c r="BU94" s="9"/>
      <c r="BV94" s="10"/>
      <c r="BW94" s="11"/>
      <c r="BX94" s="11"/>
      <c r="BY94" s="11"/>
      <c r="BZ94" s="11"/>
      <c r="CA94" s="11"/>
      <c r="CB94" s="12"/>
      <c r="CC94" s="13"/>
      <c r="CD94" s="14"/>
      <c r="CL94" s="11"/>
      <c r="CM94" s="11"/>
      <c r="CN94" s="11"/>
      <c r="CO94" s="11"/>
      <c r="CP94" s="11"/>
      <c r="CQ94" s="49"/>
      <c r="CR94" s="61"/>
      <c r="CS94" s="54"/>
      <c r="CT94" s="61"/>
      <c r="CU94" s="48"/>
      <c r="CV94" s="48"/>
      <c r="CW94" s="49"/>
      <c r="CX94" s="49"/>
    </row>
    <row r="95" spans="1:102" hidden="1" x14ac:dyDescent="0.25">
      <c r="A95" s="1" t="s">
        <v>175</v>
      </c>
      <c r="B95" s="1" t="s">
        <v>176</v>
      </c>
      <c r="C95" s="1" t="s">
        <v>176</v>
      </c>
      <c r="D95" s="2" t="s">
        <v>63</v>
      </c>
      <c r="E95" s="2" t="s">
        <v>63</v>
      </c>
      <c r="F95" s="3" t="e">
        <f>IF(BE95="S",
IF(#REF!+BM95=2018,
IF(#REF!=1,"18-19/1",
IF(#REF!=2,"18-19/2",
IF(#REF!=3,"19-20/1",
IF(#REF!=4,"19-20/2",
IF(#REF!=5,"20-21/1",
IF(#REF!=6,"20-21/2",
IF(#REF!=7,"21-22/1",
IF(#REF!=8,"21-22/2","Hata1")))))))),
IF(#REF!+BM95=2019,
IF(#REF!=1,"19-20/1",
IF(#REF!=2,"19-20/2",
IF(#REF!=3,"20-21/1",
IF(#REF!=4,"20-21/2",
IF(#REF!=5,"21-22/1",
IF(#REF!=6,"21-22/2",
IF(#REF!=7,"22-23/1",
IF(#REF!=8,"22-23/2","Hata2")))))))),
IF(#REF!+BM95=2020,
IF(#REF!=1,"20-21/1",
IF(#REF!=2,"20-21/2",
IF(#REF!=3,"21-22/1",
IF(#REF!=4,"21-22/2",
IF(#REF!=5,"22-23/1",
IF(#REF!=6,"22-23/2",
IF(#REF!=7,"23-24/1",
IF(#REF!=8,"23-24/2","Hata3")))))))),
IF(#REF!+BM95=2021,
IF(#REF!=1,"21-22/1",
IF(#REF!=2,"21-22/2",
IF(#REF!=3,"22-23/1",
IF(#REF!=4,"22-23/2",
IF(#REF!=5,"23-24/1",
IF(#REF!=6,"23-24/2",
IF(#REF!=7,"24-25/1",
IF(#REF!=8,"24-25/2","Hata4")))))))),
IF(#REF!+BM95=2022,
IF(#REF!=1,"22-23/1",
IF(#REF!=2,"22-23/2",
IF(#REF!=3,"23-24/1",
IF(#REF!=4,"23-24/2",
IF(#REF!=5,"24-25/1",
IF(#REF!=6,"24-25/2",
IF(#REF!=7,"25-26/1",
IF(#REF!=8,"25-26/2","Hata5")))))))),
IF(#REF!+BM95=2023,
IF(#REF!=1,"23-24/1",
IF(#REF!=2,"23-24/2",
IF(#REF!=3,"24-25/1",
IF(#REF!=4,"24-25/2",
IF(#REF!=5,"25-26/1",
IF(#REF!=6,"25-26/2",
IF(#REF!=7,"26-27/1",
IF(#REF!=8,"26-27/2","Hata6")))))))),
)))))),
IF(BE95="T",
IF(#REF!+BM95=2018,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5" s="1" t="s">
        <v>78</v>
      </c>
      <c r="J95" s="1">
        <v>4234784</v>
      </c>
      <c r="L95" s="2">
        <v>4355</v>
      </c>
      <c r="N95" s="2">
        <v>6</v>
      </c>
      <c r="O95" s="6">
        <f t="shared" si="42"/>
        <v>2.5</v>
      </c>
      <c r="P95" s="2">
        <f t="shared" si="43"/>
        <v>3</v>
      </c>
      <c r="Q95" s="2">
        <v>2</v>
      </c>
      <c r="R95" s="2">
        <v>1</v>
      </c>
      <c r="S95" s="2">
        <v>0</v>
      </c>
      <c r="X95" s="3">
        <v>2</v>
      </c>
      <c r="Y95" s="1">
        <f>VLOOKUP(X95,[14]ölçme_sistemleri!I:L,2,FALSE)</f>
        <v>0</v>
      </c>
      <c r="Z95" s="1">
        <f>VLOOKUP(X95,[14]ölçme_sistemleri!I:L,3,FALSE)</f>
        <v>2</v>
      </c>
      <c r="AA95" s="1">
        <f>VLOOKUP(X95,[14]ölçme_sistemleri!I:L,4,FALSE)</f>
        <v>1</v>
      </c>
      <c r="AB95" s="1">
        <f>$O95*[14]ölçme_sistemleri!J$13</f>
        <v>2.5</v>
      </c>
      <c r="AC95" s="1">
        <f>$O95*[14]ölçme_sistemleri!K$13</f>
        <v>5</v>
      </c>
      <c r="AD95" s="1">
        <f>$O95*[14]ölçme_sistemleri!L$13</f>
        <v>7.5</v>
      </c>
      <c r="AE95" s="1">
        <f t="shared" si="44"/>
        <v>0</v>
      </c>
      <c r="AF95" s="1">
        <f t="shared" si="45"/>
        <v>10</v>
      </c>
      <c r="AG95" s="1">
        <f t="shared" si="46"/>
        <v>7.5</v>
      </c>
      <c r="AH95" s="1">
        <f t="shared" si="47"/>
        <v>17.5</v>
      </c>
      <c r="AI95" s="1">
        <v>14</v>
      </c>
      <c r="AJ95" s="1">
        <f>VLOOKUP(X95,[14]ölçme_sistemleri!I:M,5,FALSE)</f>
        <v>2</v>
      </c>
      <c r="AK95" s="1">
        <f t="shared" si="48"/>
        <v>245</v>
      </c>
      <c r="AL95" s="1">
        <f>AI95*6</f>
        <v>84</v>
      </c>
      <c r="AM95" s="1">
        <f>VLOOKUP(X95,[14]ölçme_sistemleri!I:N,6,FALSE)</f>
        <v>3</v>
      </c>
      <c r="AN95" s="1">
        <v>2</v>
      </c>
      <c r="AO95" s="1">
        <f t="shared" si="49"/>
        <v>6</v>
      </c>
      <c r="AP95" s="1">
        <v>14</v>
      </c>
      <c r="AQ95" s="1">
        <f t="shared" si="59"/>
        <v>42</v>
      </c>
      <c r="AR95" s="1">
        <f t="shared" si="50"/>
        <v>149.5</v>
      </c>
      <c r="AS95" s="1">
        <f t="shared" si="69"/>
        <v>25</v>
      </c>
      <c r="AT95" s="1">
        <f t="shared" si="51"/>
        <v>6</v>
      </c>
      <c r="AU95" s="1">
        <f t="shared" si="60"/>
        <v>0</v>
      </c>
      <c r="AV95" s="1">
        <f t="shared" si="61"/>
        <v>0</v>
      </c>
      <c r="AW95" s="1">
        <f t="shared" si="62"/>
        <v>0</v>
      </c>
      <c r="AX95" s="1">
        <f t="shared" si="63"/>
        <v>0</v>
      </c>
      <c r="AY95" s="1">
        <f t="shared" si="52"/>
        <v>-17.5</v>
      </c>
      <c r="AZ95" s="1">
        <f t="shared" si="64"/>
        <v>0</v>
      </c>
      <c r="BA95" s="1">
        <f t="shared" si="53"/>
        <v>-84</v>
      </c>
      <c r="BB95" s="1">
        <f t="shared" si="72"/>
        <v>0</v>
      </c>
      <c r="BC95" s="1">
        <f t="shared" si="55"/>
        <v>-6</v>
      </c>
      <c r="BD95" s="1">
        <f t="shared" si="56"/>
        <v>0</v>
      </c>
      <c r="BE95" s="1" t="s">
        <v>65</v>
      </c>
      <c r="BF95" s="1">
        <f t="shared" si="70"/>
        <v>35</v>
      </c>
      <c r="BG95" s="1">
        <f t="shared" si="71"/>
        <v>35</v>
      </c>
      <c r="BH95" s="1">
        <f t="shared" si="58"/>
        <v>1</v>
      </c>
      <c r="BI95" s="1" t="e">
        <f>IF(BH95-#REF!=0,"DOĞRU","YANLIŞ")</f>
        <v>#REF!</v>
      </c>
      <c r="BJ95" s="1" t="e">
        <f>#REF!-BH95</f>
        <v>#REF!</v>
      </c>
      <c r="BK95" s="1">
        <v>1</v>
      </c>
      <c r="BM95" s="1">
        <v>0</v>
      </c>
      <c r="BO95" s="1">
        <v>2</v>
      </c>
      <c r="BT95" s="8">
        <f t="shared" si="66"/>
        <v>14</v>
      </c>
      <c r="BU95" s="9"/>
      <c r="BV95" s="10"/>
      <c r="BW95" s="11"/>
      <c r="BX95" s="11"/>
      <c r="BY95" s="11"/>
      <c r="BZ95" s="11"/>
      <c r="CA95" s="11"/>
      <c r="CB95" s="12"/>
      <c r="CC95" s="13"/>
      <c r="CD95" s="14"/>
      <c r="CL95" s="11"/>
      <c r="CM95" s="11"/>
      <c r="CN95" s="11"/>
      <c r="CO95" s="11"/>
      <c r="CP95" s="11"/>
      <c r="CQ95" s="49"/>
      <c r="CR95" s="46"/>
      <c r="CS95" s="48"/>
      <c r="CT95" s="48"/>
      <c r="CU95" s="48"/>
      <c r="CV95" s="48"/>
      <c r="CW95" s="49"/>
      <c r="CX95" s="49"/>
    </row>
    <row r="96" spans="1:102" hidden="1" x14ac:dyDescent="0.25">
      <c r="A96" s="1" t="s">
        <v>183</v>
      </c>
      <c r="B96" s="1" t="s">
        <v>184</v>
      </c>
      <c r="C96" s="1" t="s">
        <v>184</v>
      </c>
      <c r="D96" s="2" t="s">
        <v>63</v>
      </c>
      <c r="E96" s="2" t="s">
        <v>63</v>
      </c>
      <c r="F96" s="3" t="e">
        <f>IF(BE96="S",
IF(#REF!+BM96=2018,
IF(#REF!=1,"18-19/1",
IF(#REF!=2,"18-19/2",
IF(#REF!=3,"19-20/1",
IF(#REF!=4,"19-20/2",
IF(#REF!=5,"20-21/1",
IF(#REF!=6,"20-21/2",
IF(#REF!=7,"21-22/1",
IF(#REF!=8,"21-22/2","Hata1")))))))),
IF(#REF!+BM96=2019,
IF(#REF!=1,"19-20/1",
IF(#REF!=2,"19-20/2",
IF(#REF!=3,"20-21/1",
IF(#REF!=4,"20-21/2",
IF(#REF!=5,"21-22/1",
IF(#REF!=6,"21-22/2",
IF(#REF!=7,"22-23/1",
IF(#REF!=8,"22-23/2","Hata2")))))))),
IF(#REF!+BM96=2020,
IF(#REF!=1,"20-21/1",
IF(#REF!=2,"20-21/2",
IF(#REF!=3,"21-22/1",
IF(#REF!=4,"21-22/2",
IF(#REF!=5,"22-23/1",
IF(#REF!=6,"22-23/2",
IF(#REF!=7,"23-24/1",
IF(#REF!=8,"23-24/2","Hata3")))))))),
IF(#REF!+BM96=2021,
IF(#REF!=1,"21-22/1",
IF(#REF!=2,"21-22/2",
IF(#REF!=3,"22-23/1",
IF(#REF!=4,"22-23/2",
IF(#REF!=5,"23-24/1",
IF(#REF!=6,"23-24/2",
IF(#REF!=7,"24-25/1",
IF(#REF!=8,"24-25/2","Hata4")))))))),
IF(#REF!+BM96=2022,
IF(#REF!=1,"22-23/1",
IF(#REF!=2,"22-23/2",
IF(#REF!=3,"23-24/1",
IF(#REF!=4,"23-24/2",
IF(#REF!=5,"24-25/1",
IF(#REF!=6,"24-25/2",
IF(#REF!=7,"25-26/1",
IF(#REF!=8,"25-26/2","Hata5")))))))),
IF(#REF!+BM96=2023,
IF(#REF!=1,"23-24/1",
IF(#REF!=2,"23-24/2",
IF(#REF!=3,"24-25/1",
IF(#REF!=4,"24-25/2",
IF(#REF!=5,"25-26/1",
IF(#REF!=6,"25-26/2",
IF(#REF!=7,"26-27/1",
IF(#REF!=8,"26-27/2","Hata6")))))))),
)))))),
IF(BE96="T",
IF(#REF!+BM96=2018,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6" s="1" t="s">
        <v>78</v>
      </c>
      <c r="J96" s="1">
        <v>4234784</v>
      </c>
      <c r="L96" s="2">
        <v>2086</v>
      </c>
      <c r="N96" s="2">
        <v>3</v>
      </c>
      <c r="O96" s="6">
        <f t="shared" si="42"/>
        <v>2.5</v>
      </c>
      <c r="P96" s="2">
        <f t="shared" si="43"/>
        <v>3</v>
      </c>
      <c r="Q96" s="2">
        <v>0</v>
      </c>
      <c r="R96" s="2">
        <v>1</v>
      </c>
      <c r="S96" s="2">
        <v>2</v>
      </c>
      <c r="X96" s="3">
        <v>4</v>
      </c>
      <c r="Y96" s="1">
        <f>VLOOKUP(X96,[14]ölçme_sistemleri!I:L,2,FALSE)</f>
        <v>0</v>
      </c>
      <c r="Z96" s="1">
        <f>VLOOKUP(X96,[14]ölçme_sistemleri!I:L,3,FALSE)</f>
        <v>1</v>
      </c>
      <c r="AA96" s="1">
        <f>VLOOKUP(X96,[14]ölçme_sistemleri!I:L,4,FALSE)</f>
        <v>1</v>
      </c>
      <c r="AB96" s="1">
        <f>$O96*[14]ölçme_sistemleri!J$13</f>
        <v>2.5</v>
      </c>
      <c r="AC96" s="1">
        <f>$O96*[14]ölçme_sistemleri!K$13</f>
        <v>5</v>
      </c>
      <c r="AD96" s="1">
        <f>$O96*[14]ölçme_sistemleri!L$13</f>
        <v>7.5</v>
      </c>
      <c r="AE96" s="1">
        <f t="shared" si="44"/>
        <v>0</v>
      </c>
      <c r="AF96" s="1">
        <f t="shared" si="45"/>
        <v>5</v>
      </c>
      <c r="AG96" s="1">
        <f t="shared" si="46"/>
        <v>7.5</v>
      </c>
      <c r="AH96" s="1">
        <f t="shared" si="47"/>
        <v>12.5</v>
      </c>
      <c r="AI96" s="1">
        <v>14</v>
      </c>
      <c r="AJ96" s="1">
        <f>VLOOKUP(X96,[14]ölçme_sistemleri!I:M,5,FALSE)</f>
        <v>1</v>
      </c>
      <c r="AK96" s="1">
        <f t="shared" si="48"/>
        <v>175</v>
      </c>
      <c r="AL96" s="1">
        <f>(Q96+S96)*AI96</f>
        <v>28</v>
      </c>
      <c r="AM96" s="1">
        <f>VLOOKUP(X96,[14]ölçme_sistemleri!I:N,6,FALSE)</f>
        <v>2</v>
      </c>
      <c r="AN96" s="1">
        <v>2</v>
      </c>
      <c r="AO96" s="1">
        <f t="shared" si="49"/>
        <v>4</v>
      </c>
      <c r="AP96" s="1">
        <v>14</v>
      </c>
      <c r="AQ96" s="1">
        <f t="shared" si="59"/>
        <v>42</v>
      </c>
      <c r="AR96" s="1">
        <f t="shared" si="50"/>
        <v>86.5</v>
      </c>
      <c r="AS96" s="1">
        <f t="shared" si="69"/>
        <v>25</v>
      </c>
      <c r="AT96" s="1">
        <f t="shared" si="51"/>
        <v>3</v>
      </c>
      <c r="AU96" s="1">
        <f t="shared" si="60"/>
        <v>0</v>
      </c>
      <c r="AV96" s="1">
        <f t="shared" si="61"/>
        <v>0</v>
      </c>
      <c r="AW96" s="1">
        <f t="shared" si="62"/>
        <v>0</v>
      </c>
      <c r="AX96" s="1">
        <f t="shared" si="63"/>
        <v>0</v>
      </c>
      <c r="AY96" s="1">
        <f t="shared" si="52"/>
        <v>-12.5</v>
      </c>
      <c r="AZ96" s="1">
        <f t="shared" si="64"/>
        <v>0</v>
      </c>
      <c r="BA96" s="1">
        <f t="shared" si="53"/>
        <v>-28</v>
      </c>
      <c r="BB96" s="1">
        <f t="shared" si="72"/>
        <v>0</v>
      </c>
      <c r="BC96" s="1">
        <f t="shared" si="55"/>
        <v>-4</v>
      </c>
      <c r="BD96" s="1">
        <f t="shared" si="56"/>
        <v>0</v>
      </c>
      <c r="BE96" s="1" t="s">
        <v>65</v>
      </c>
      <c r="BF96" s="1">
        <f t="shared" si="70"/>
        <v>35</v>
      </c>
      <c r="BG96" s="1">
        <f t="shared" si="71"/>
        <v>35</v>
      </c>
      <c r="BH96" s="1">
        <f t="shared" si="58"/>
        <v>1</v>
      </c>
      <c r="BI96" s="1" t="e">
        <f>IF(BH96-#REF!=0,"DOĞRU","YANLIŞ")</f>
        <v>#REF!</v>
      </c>
      <c r="BJ96" s="1" t="e">
        <f>#REF!-BH96</f>
        <v>#REF!</v>
      </c>
      <c r="BK96" s="1">
        <v>0</v>
      </c>
      <c r="BM96" s="1">
        <v>0</v>
      </c>
      <c r="BO96" s="1">
        <v>2</v>
      </c>
      <c r="BT96" s="8">
        <f t="shared" si="66"/>
        <v>14</v>
      </c>
      <c r="BU96" s="9"/>
      <c r="BV96" s="10"/>
      <c r="BW96" s="11"/>
      <c r="BX96" s="11"/>
      <c r="BY96" s="11"/>
      <c r="BZ96" s="11"/>
      <c r="CA96" s="11"/>
      <c r="CB96" s="12"/>
      <c r="CC96" s="13"/>
      <c r="CD96" s="14"/>
      <c r="CL96" s="11"/>
      <c r="CM96" s="11"/>
      <c r="CN96" s="11"/>
      <c r="CO96" s="11"/>
      <c r="CP96" s="11"/>
      <c r="CQ96" s="49"/>
      <c r="CR96" s="46"/>
      <c r="CS96" s="49"/>
      <c r="CT96" s="48"/>
      <c r="CU96" s="49"/>
      <c r="CV96" s="48"/>
      <c r="CW96" s="49"/>
      <c r="CX96" s="49"/>
    </row>
    <row r="97" spans="1:102" hidden="1" x14ac:dyDescent="0.25">
      <c r="A97" s="1" t="s">
        <v>165</v>
      </c>
      <c r="B97" s="1" t="s">
        <v>166</v>
      </c>
      <c r="C97" s="1" t="s">
        <v>166</v>
      </c>
      <c r="D97" s="2" t="s">
        <v>58</v>
      </c>
      <c r="E97" s="2" t="s">
        <v>58</v>
      </c>
      <c r="F97" s="3" t="e">
        <f>IF(BE97="S",
IF(#REF!+BM97=2018,
IF(#REF!=1,"18-19/1",
IF(#REF!=2,"18-19/2",
IF(#REF!=3,"19-20/1",
IF(#REF!=4,"19-20/2",
IF(#REF!=5,"20-21/1",
IF(#REF!=6,"20-21/2",
IF(#REF!=7,"21-22/1",
IF(#REF!=8,"21-22/2","Hata1")))))))),
IF(#REF!+BM97=2019,
IF(#REF!=1,"19-20/1",
IF(#REF!=2,"19-20/2",
IF(#REF!=3,"20-21/1",
IF(#REF!=4,"20-21/2",
IF(#REF!=5,"21-22/1",
IF(#REF!=6,"21-22/2",
IF(#REF!=7,"22-23/1",
IF(#REF!=8,"22-23/2","Hata2")))))))),
IF(#REF!+BM97=2020,
IF(#REF!=1,"20-21/1",
IF(#REF!=2,"20-21/2",
IF(#REF!=3,"21-22/1",
IF(#REF!=4,"21-22/2",
IF(#REF!=5,"22-23/1",
IF(#REF!=6,"22-23/2",
IF(#REF!=7,"23-24/1",
IF(#REF!=8,"23-24/2","Hata3")))))))),
IF(#REF!+BM97=2021,
IF(#REF!=1,"21-22/1",
IF(#REF!=2,"21-22/2",
IF(#REF!=3,"22-23/1",
IF(#REF!=4,"22-23/2",
IF(#REF!=5,"23-24/1",
IF(#REF!=6,"23-24/2",
IF(#REF!=7,"24-25/1",
IF(#REF!=8,"24-25/2","Hata4")))))))),
IF(#REF!+BM97=2022,
IF(#REF!=1,"22-23/1",
IF(#REF!=2,"22-23/2",
IF(#REF!=3,"23-24/1",
IF(#REF!=4,"23-24/2",
IF(#REF!=5,"24-25/1",
IF(#REF!=6,"24-25/2",
IF(#REF!=7,"25-26/1",
IF(#REF!=8,"25-26/2","Hata5")))))))),
IF(#REF!+BM97=2023,
IF(#REF!=1,"23-24/1",
IF(#REF!=2,"23-24/2",
IF(#REF!=3,"24-25/1",
IF(#REF!=4,"24-25/2",
IF(#REF!=5,"25-26/1",
IF(#REF!=6,"25-26/2",
IF(#REF!=7,"26-27/1",
IF(#REF!=8,"26-27/2","Hata6")))))))),
)))))),
IF(BE97="T",
IF(#REF!+BM97=2018,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7" s="1" t="s">
        <v>78</v>
      </c>
      <c r="J97" s="1">
        <v>4234784</v>
      </c>
      <c r="L97" s="2">
        <v>2151</v>
      </c>
      <c r="N97" s="2">
        <v>3</v>
      </c>
      <c r="O97" s="6">
        <f t="shared" si="42"/>
        <v>2</v>
      </c>
      <c r="P97" s="2">
        <f t="shared" si="43"/>
        <v>2</v>
      </c>
      <c r="Q97" s="2">
        <v>0</v>
      </c>
      <c r="R97" s="2">
        <v>0</v>
      </c>
      <c r="S97" s="2">
        <v>2</v>
      </c>
      <c r="X97" s="3">
        <v>4</v>
      </c>
      <c r="Y97" s="1">
        <f>VLOOKUP(X97,[14]ölçme_sistemleri!I:L,2,FALSE)</f>
        <v>0</v>
      </c>
      <c r="Z97" s="1">
        <f>VLOOKUP(X97,[14]ölçme_sistemleri!I:L,3,FALSE)</f>
        <v>1</v>
      </c>
      <c r="AA97" s="1">
        <f>VLOOKUP(X97,[14]ölçme_sistemleri!I:L,4,FALSE)</f>
        <v>1</v>
      </c>
      <c r="AB97" s="1">
        <f>$O97*[14]ölçme_sistemleri!J$13</f>
        <v>2</v>
      </c>
      <c r="AC97" s="1">
        <f>$O97*[14]ölçme_sistemleri!K$13</f>
        <v>4</v>
      </c>
      <c r="AD97" s="1">
        <f>$O97*[14]ölçme_sistemleri!L$13</f>
        <v>6</v>
      </c>
      <c r="AE97" s="1">
        <f t="shared" si="44"/>
        <v>0</v>
      </c>
      <c r="AF97" s="1">
        <f t="shared" si="45"/>
        <v>4</v>
      </c>
      <c r="AG97" s="1">
        <f t="shared" si="46"/>
        <v>6</v>
      </c>
      <c r="AH97" s="1">
        <f t="shared" si="47"/>
        <v>10</v>
      </c>
      <c r="AI97" s="1">
        <v>14</v>
      </c>
      <c r="AJ97" s="1">
        <f>VLOOKUP(X97,[14]ölçme_sistemleri!I:M,5,FALSE)</f>
        <v>1</v>
      </c>
      <c r="AK97" s="1">
        <f t="shared" si="48"/>
        <v>140</v>
      </c>
      <c r="AL97" s="1">
        <f>(Q97+S97)*AI97</f>
        <v>28</v>
      </c>
      <c r="AM97" s="1">
        <f>VLOOKUP(X97,[14]ölçme_sistemleri!I:N,6,FALSE)</f>
        <v>2</v>
      </c>
      <c r="AN97" s="1">
        <v>2</v>
      </c>
      <c r="AO97" s="1">
        <f t="shared" si="49"/>
        <v>4</v>
      </c>
      <c r="AP97" s="1">
        <v>14</v>
      </c>
      <c r="AQ97" s="1">
        <f t="shared" si="59"/>
        <v>28</v>
      </c>
      <c r="AR97" s="1">
        <f t="shared" si="50"/>
        <v>70</v>
      </c>
      <c r="AS97" s="1">
        <f t="shared" si="69"/>
        <v>25</v>
      </c>
      <c r="AT97" s="1">
        <f t="shared" si="51"/>
        <v>3</v>
      </c>
      <c r="AU97" s="1">
        <f t="shared" si="60"/>
        <v>0</v>
      </c>
      <c r="AV97" s="1">
        <f t="shared" si="61"/>
        <v>0</v>
      </c>
      <c r="AW97" s="1">
        <f t="shared" si="62"/>
        <v>0</v>
      </c>
      <c r="AX97" s="1">
        <f t="shared" si="63"/>
        <v>0</v>
      </c>
      <c r="AY97" s="1">
        <f t="shared" si="52"/>
        <v>-10</v>
      </c>
      <c r="AZ97" s="1">
        <f t="shared" si="64"/>
        <v>0</v>
      </c>
      <c r="BA97" s="1">
        <f t="shared" si="53"/>
        <v>-28</v>
      </c>
      <c r="BB97" s="1">
        <f t="shared" si="72"/>
        <v>0</v>
      </c>
      <c r="BC97" s="1">
        <f t="shared" si="55"/>
        <v>-4</v>
      </c>
      <c r="BD97" s="1">
        <f t="shared" si="56"/>
        <v>0</v>
      </c>
      <c r="BE97" s="1" t="s">
        <v>65</v>
      </c>
      <c r="BF97" s="1">
        <f t="shared" si="70"/>
        <v>28</v>
      </c>
      <c r="BG97" s="1">
        <f t="shared" si="71"/>
        <v>28</v>
      </c>
      <c r="BH97" s="1">
        <f t="shared" si="58"/>
        <v>1</v>
      </c>
      <c r="BI97" s="1" t="e">
        <f>IF(BH97-#REF!=0,"DOĞRU","YANLIŞ")</f>
        <v>#REF!</v>
      </c>
      <c r="BJ97" s="1" t="e">
        <f>#REF!-BH97</f>
        <v>#REF!</v>
      </c>
      <c r="BK97" s="1">
        <v>0</v>
      </c>
      <c r="BM97" s="1">
        <v>0</v>
      </c>
      <c r="BO97" s="1">
        <v>2</v>
      </c>
      <c r="BT97" s="8">
        <f t="shared" si="66"/>
        <v>0</v>
      </c>
      <c r="BU97" s="9"/>
      <c r="BV97" s="10"/>
      <c r="BW97" s="11"/>
      <c r="BX97" s="11"/>
      <c r="BY97" s="11"/>
      <c r="BZ97" s="11"/>
      <c r="CA97" s="11"/>
      <c r="CB97" s="12"/>
      <c r="CC97" s="13"/>
      <c r="CD97" s="14"/>
      <c r="CL97" s="11"/>
      <c r="CM97" s="11"/>
      <c r="CN97" s="11"/>
      <c r="CO97" s="11"/>
      <c r="CP97" s="11"/>
      <c r="CQ97" s="49"/>
      <c r="CR97" s="46"/>
      <c r="CS97" s="53"/>
      <c r="CT97" s="53"/>
      <c r="CU97" s="53"/>
      <c r="CV97" s="53"/>
      <c r="CW97" s="49"/>
      <c r="CX97" s="49"/>
    </row>
    <row r="98" spans="1:102" hidden="1" x14ac:dyDescent="0.25">
      <c r="A98" s="1" t="s">
        <v>79</v>
      </c>
      <c r="B98" s="1" t="s">
        <v>80</v>
      </c>
      <c r="C98" s="1" t="s">
        <v>80</v>
      </c>
      <c r="D98" s="2" t="s">
        <v>58</v>
      </c>
      <c r="E98" s="2" t="s">
        <v>58</v>
      </c>
      <c r="F98" s="3" t="e">
        <f>IF(BE98="S",
IF(#REF!+BM98=2018,
IF(#REF!=1,"18-19/1",
IF(#REF!=2,"18-19/2",
IF(#REF!=3,"19-20/1",
IF(#REF!=4,"19-20/2",
IF(#REF!=5,"20-21/1",
IF(#REF!=6,"20-21/2",
IF(#REF!=7,"21-22/1",
IF(#REF!=8,"21-22/2","Hata1")))))))),
IF(#REF!+BM98=2019,
IF(#REF!=1,"19-20/1",
IF(#REF!=2,"19-20/2",
IF(#REF!=3,"20-21/1",
IF(#REF!=4,"20-21/2",
IF(#REF!=5,"21-22/1",
IF(#REF!=6,"21-22/2",
IF(#REF!=7,"22-23/1",
IF(#REF!=8,"22-23/2","Hata2")))))))),
IF(#REF!+BM98=2020,
IF(#REF!=1,"20-21/1",
IF(#REF!=2,"20-21/2",
IF(#REF!=3,"21-22/1",
IF(#REF!=4,"21-22/2",
IF(#REF!=5,"22-23/1",
IF(#REF!=6,"22-23/2",
IF(#REF!=7,"23-24/1",
IF(#REF!=8,"23-24/2","Hata3")))))))),
IF(#REF!+BM98=2021,
IF(#REF!=1,"21-22/1",
IF(#REF!=2,"21-22/2",
IF(#REF!=3,"22-23/1",
IF(#REF!=4,"22-23/2",
IF(#REF!=5,"23-24/1",
IF(#REF!=6,"23-24/2",
IF(#REF!=7,"24-25/1",
IF(#REF!=8,"24-25/2","Hata4")))))))),
IF(#REF!+BM98=2022,
IF(#REF!=1,"22-23/1",
IF(#REF!=2,"22-23/2",
IF(#REF!=3,"23-24/1",
IF(#REF!=4,"23-24/2",
IF(#REF!=5,"24-25/1",
IF(#REF!=6,"24-25/2",
IF(#REF!=7,"25-26/1",
IF(#REF!=8,"25-26/2","Hata5")))))))),
IF(#REF!+BM98=2023,
IF(#REF!=1,"23-24/1",
IF(#REF!=2,"23-24/2",
IF(#REF!=3,"24-25/1",
IF(#REF!=4,"24-25/2",
IF(#REF!=5,"25-26/1",
IF(#REF!=6,"25-26/2",
IF(#REF!=7,"26-27/1",
IF(#REF!=8,"26-27/2","Hata6")))))))),
)))))),
IF(BE98="T",
IF(#REF!+BM98=2018,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98" s="1" t="s">
        <v>78</v>
      </c>
      <c r="J98" s="1">
        <v>4234784</v>
      </c>
      <c r="L98" s="2">
        <v>3401</v>
      </c>
      <c r="N98" s="2">
        <v>4</v>
      </c>
      <c r="O98" s="6">
        <f t="shared" si="42"/>
        <v>2</v>
      </c>
      <c r="P98" s="2">
        <f t="shared" si="43"/>
        <v>2</v>
      </c>
      <c r="Q98" s="2">
        <v>2</v>
      </c>
      <c r="R98" s="2">
        <v>0</v>
      </c>
      <c r="S98" s="2">
        <v>0</v>
      </c>
      <c r="X98" s="3">
        <v>4</v>
      </c>
      <c r="Y98" s="1">
        <f>VLOOKUP($X98,[5]ölçme_sistemleri!I$1:L$65536,2,FALSE)</f>
        <v>0</v>
      </c>
      <c r="Z98" s="1">
        <f>VLOOKUP($X98,[5]ölçme_sistemleri!I$1:L$65536,3,FALSE)</f>
        <v>1</v>
      </c>
      <c r="AA98" s="1">
        <f>VLOOKUP($X98,[5]ölçme_sistemleri!I$1:L$65536,4,FALSE)</f>
        <v>1</v>
      </c>
      <c r="AB98" s="1">
        <f>$O98*[5]ölçme_sistemleri!J$13</f>
        <v>2</v>
      </c>
      <c r="AC98" s="1">
        <f>$O98*[5]ölçme_sistemleri!K$13</f>
        <v>4</v>
      </c>
      <c r="AD98" s="1">
        <f>$O98*[5]ölçme_sistemleri!L$13</f>
        <v>6</v>
      </c>
      <c r="AE98" s="1">
        <f t="shared" si="44"/>
        <v>0</v>
      </c>
      <c r="AF98" s="1">
        <f t="shared" si="45"/>
        <v>4</v>
      </c>
      <c r="AG98" s="1">
        <f t="shared" si="46"/>
        <v>6</v>
      </c>
      <c r="AH98" s="1">
        <f t="shared" si="47"/>
        <v>10</v>
      </c>
      <c r="AI98" s="1">
        <v>14</v>
      </c>
      <c r="AJ98" s="1">
        <f>VLOOKUP(X98,[5]ölçme_sistemleri!I$1:M$65536,5,FALSE)</f>
        <v>1</v>
      </c>
      <c r="AK98" s="1">
        <f t="shared" si="48"/>
        <v>140</v>
      </c>
      <c r="AL98" s="1">
        <f>AI98*4</f>
        <v>56</v>
      </c>
      <c r="AM98" s="1">
        <f>VLOOKUP(X98,[5]ölçme_sistemleri!I$1:N$65536,6,FALSE)</f>
        <v>2</v>
      </c>
      <c r="AN98" s="1">
        <v>2</v>
      </c>
      <c r="AO98" s="1">
        <f t="shared" si="49"/>
        <v>4</v>
      </c>
      <c r="AP98" s="1">
        <v>14</v>
      </c>
      <c r="AQ98" s="1">
        <f t="shared" si="59"/>
        <v>28</v>
      </c>
      <c r="AR98" s="1">
        <f t="shared" si="50"/>
        <v>98</v>
      </c>
      <c r="AS98" s="1">
        <f t="shared" si="69"/>
        <v>25</v>
      </c>
      <c r="AT98" s="1">
        <f t="shared" si="51"/>
        <v>4</v>
      </c>
      <c r="AU98" s="1">
        <f t="shared" si="60"/>
        <v>0</v>
      </c>
      <c r="AV98" s="1">
        <f t="shared" ref="AV98:AV122" si="73">IF(BE98="s",IF(W98=0,0,
IF(W98=1,N98*4*4,
IF(W98=2,0,
IF(W98=3,N98*4*2,
IF(W98=4,0,
IF(W98=5,0,
IF(W98=6,0,
IF(W98=7,0)))))))),
IF(BE98="t",
IF(W98=0,0,
IF(W98=1,N98*4*4*0.8,
IF(W98=2,0,
IF(W98=3,N98*4*2*0.8,
IF(W98=4,0,
IF(W98=5,0,
IF(W98=6,0,
IF(W98=7,0))))))))))</f>
        <v>0</v>
      </c>
      <c r="AW98" s="1">
        <f t="shared" ref="AW98:AW122" si="74">IF(BE98="s",
IF(W98=0,0,
IF(W98=1,0,
IF(W98=2,N98*4*2,
IF(W98=3,N98*4,
IF(W98=4,N98*4,
IF(W98=5,0,
IF(W98=6,0,
IF(W98=7,N98*4)))))))),
IF(BE98="t",
IF(W98=0,0,
IF(W98=1,0,
IF(W98=2,N98*4*2*0.8,
IF(W98=3,N98*4*0.8,
IF(W98=4,N98*4*0.8,
IF(W98=5,0,
IF(W98=6,0,
IF(W98=7,N98*4))))))))))</f>
        <v>0</v>
      </c>
      <c r="AX98" s="1">
        <f t="shared" ref="AX98:AX122" si="75">IF(BE98="s",
IF(W98=0,0,
IF(W98=1,N98*2,
IF(W98=2,N98*2,
IF(W98=3,N98*2,
IF(W98=4,N98*2,
IF(W98=5,N98*2,
IF(W98=6,N98*2,
IF(W98=7,N98*2)))))))),
IF(BE98="t",
IF(W98=0,O98*2*0.8,
IF(W98=1,N98*2*0.8,
IF(W98=2,N98*2*0.8,
IF(W98=3,N98*2*0.8,
IF(W98=4,N98*2*0.8,
IF(W98=5,N98*2*0.8,
IF(W98=6,N98*1*0.8,
IF(W98=7,N98*2))))))))))</f>
        <v>0</v>
      </c>
      <c r="AY98" s="1">
        <f t="shared" si="52"/>
        <v>-10</v>
      </c>
      <c r="AZ98" s="1">
        <f t="shared" ref="AZ98:AZ122" si="76">IF(BE98="s",
IF(W98=0,0,
IF(W98=1,(14-2)*(P98+R98)/4*4,
IF(W98=2,(14-2)*(P98+R98)/4*2,
IF(W98=3,(14-2)*(P98+R98)/4*3,
IF(W98=4,(14-2)*(P98+R98)/4,
IF(W98=5,(14-2)*N98/4,
IF(W98=6,0,
IF(W98=7,(14)*R98)))))))),
IF(BE98="t",
IF(W98=0,0,
IF(W98=1,(11-2)*(P98+R98)/4*4,
IF(W98=2,(11-2)*(P98+R98)/4*2,
IF(W98=3,(11-2)*(P98+R98)/4*3,
IF(W98=4,(11-2)*(P98+R98)/4,
IF(W98=5,(11-2)*N98/4,
IF(W98=6,0,
IF(W98=7,(11)*N98))))))))))</f>
        <v>0</v>
      </c>
      <c r="BA98" s="1">
        <f t="shared" si="53"/>
        <v>-56</v>
      </c>
      <c r="BB98" s="1">
        <f t="shared" si="72"/>
        <v>0</v>
      </c>
      <c r="BC98" s="1">
        <f t="shared" si="55"/>
        <v>-4</v>
      </c>
      <c r="BD98" s="1">
        <f t="shared" si="56"/>
        <v>0</v>
      </c>
      <c r="BE98" s="1" t="s">
        <v>65</v>
      </c>
      <c r="BF98" s="1">
        <f t="shared" si="70"/>
        <v>28</v>
      </c>
      <c r="BG98" s="1">
        <f t="shared" si="71"/>
        <v>28</v>
      </c>
      <c r="BH98" s="1">
        <f t="shared" si="58"/>
        <v>1</v>
      </c>
      <c r="BI98" s="1" t="e">
        <f>IF(BH98-#REF!=0,"DOĞRU","YANLIŞ")</f>
        <v>#REF!</v>
      </c>
      <c r="BJ98" s="1" t="e">
        <f>#REF!-BH98</f>
        <v>#REF!</v>
      </c>
      <c r="BK98" s="1">
        <v>1</v>
      </c>
      <c r="BM98" s="1">
        <v>0</v>
      </c>
      <c r="BO98" s="1">
        <v>2</v>
      </c>
      <c r="BT98" s="8">
        <f t="shared" ref="BT98:BT122" si="77">R98*14</f>
        <v>0</v>
      </c>
      <c r="BU98" s="9"/>
      <c r="BV98" s="10"/>
      <c r="BW98" s="11"/>
      <c r="BX98" s="11"/>
      <c r="BY98" s="11"/>
      <c r="BZ98" s="11"/>
      <c r="CA98" s="11"/>
      <c r="CB98" s="12"/>
      <c r="CC98" s="13"/>
      <c r="CD98" s="14"/>
      <c r="CL98" s="50"/>
      <c r="CM98" s="50"/>
      <c r="CN98" s="50"/>
      <c r="CO98" s="50"/>
      <c r="CP98" s="50"/>
      <c r="CQ98" s="51"/>
      <c r="CR98" s="52"/>
      <c r="CS98" s="49"/>
      <c r="CT98" s="49"/>
      <c r="CU98" s="53"/>
      <c r="CV98" s="53"/>
      <c r="CW98" s="49"/>
      <c r="CX98" s="49"/>
    </row>
    <row r="99" spans="1:102" hidden="1" x14ac:dyDescent="0.25">
      <c r="A99" s="1" t="s">
        <v>186</v>
      </c>
      <c r="B99" s="1" t="s">
        <v>187</v>
      </c>
      <c r="C99" s="1" t="s">
        <v>187</v>
      </c>
      <c r="D99" s="2" t="s">
        <v>58</v>
      </c>
      <c r="E99" s="2" t="s">
        <v>58</v>
      </c>
      <c r="F99" s="3" t="e">
        <f>IF(BE99="S",
IF(#REF!+BM99=2018,
IF(#REF!=1,"18-19/1",
IF(#REF!=2,"18-19/2",
IF(#REF!=3,"19-20/1",
IF(#REF!=4,"19-20/2",
IF(#REF!=5,"20-21/1",
IF(#REF!=6,"20-21/2",
IF(#REF!=7,"21-22/1",
IF(#REF!=8,"21-22/2","Hata1")))))))),
IF(#REF!+BM99=2019,
IF(#REF!=1,"19-20/1",
IF(#REF!=2,"19-20/2",
IF(#REF!=3,"20-21/1",
IF(#REF!=4,"20-21/2",
IF(#REF!=5,"21-22/1",
IF(#REF!=6,"21-22/2",
IF(#REF!=7,"22-23/1",
IF(#REF!=8,"22-23/2","Hata2")))))))),
IF(#REF!+BM99=2020,
IF(#REF!=1,"20-21/1",
IF(#REF!=2,"20-21/2",
IF(#REF!=3,"21-22/1",
IF(#REF!=4,"21-22/2",
IF(#REF!=5,"22-23/1",
IF(#REF!=6,"22-23/2",
IF(#REF!=7,"23-24/1",
IF(#REF!=8,"23-24/2","Hata3")))))))),
IF(#REF!+BM99=2021,
IF(#REF!=1,"21-22/1",
IF(#REF!=2,"21-22/2",
IF(#REF!=3,"22-23/1",
IF(#REF!=4,"22-23/2",
IF(#REF!=5,"23-24/1",
IF(#REF!=6,"23-24/2",
IF(#REF!=7,"24-25/1",
IF(#REF!=8,"24-25/2","Hata4")))))))),
IF(#REF!+BM99=2022,
IF(#REF!=1,"22-23/1",
IF(#REF!=2,"22-23/2",
IF(#REF!=3,"23-24/1",
IF(#REF!=4,"23-24/2",
IF(#REF!=5,"24-25/1",
IF(#REF!=6,"24-25/2",
IF(#REF!=7,"25-26/1",
IF(#REF!=8,"25-26/2","Hata5")))))))),
IF(#REF!+BM99=2023,
IF(#REF!=1,"23-24/1",
IF(#REF!=2,"23-24/2",
IF(#REF!=3,"24-25/1",
IF(#REF!=4,"24-25/2",
IF(#REF!=5,"25-26/1",
IF(#REF!=6,"25-26/2",
IF(#REF!=7,"26-27/1",
IF(#REF!=8,"26-27/2","Hata6")))))))),
)))))),
IF(BE99="T",
IF(#REF!+BM99=2018,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IF(#REF!+BM99=2019,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IF(#REF!+BM99=2020,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IF(#REF!+BM99=2021,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IF(#REF!+BM99=2022,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IF(#REF!+BM99=2023,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99" s="3">
        <v>0</v>
      </c>
      <c r="I99" s="1" t="s">
        <v>78</v>
      </c>
      <c r="J99" s="1">
        <v>4234784</v>
      </c>
      <c r="L99" s="2">
        <v>3510</v>
      </c>
      <c r="N99" s="2">
        <v>4</v>
      </c>
      <c r="O99" s="6">
        <f t="shared" si="42"/>
        <v>2</v>
      </c>
      <c r="P99" s="2">
        <f t="shared" si="43"/>
        <v>2</v>
      </c>
      <c r="Q99" s="2">
        <v>0</v>
      </c>
      <c r="R99" s="2">
        <v>0</v>
      </c>
      <c r="S99" s="2">
        <v>2</v>
      </c>
      <c r="X99" s="3">
        <v>4</v>
      </c>
      <c r="Y99" s="1">
        <f>VLOOKUP(X99,[13]ölçme_sistemleri!I:L,2,FALSE)</f>
        <v>0</v>
      </c>
      <c r="Z99" s="1">
        <f>VLOOKUP(X99,[13]ölçme_sistemleri!I:L,3,FALSE)</f>
        <v>1</v>
      </c>
      <c r="AA99" s="1">
        <f>VLOOKUP(X99,[13]ölçme_sistemleri!I:L,4,FALSE)</f>
        <v>1</v>
      </c>
      <c r="AB99" s="1">
        <f>$O99*[13]ölçme_sistemleri!J$13</f>
        <v>2</v>
      </c>
      <c r="AC99" s="1">
        <f>$O99*[13]ölçme_sistemleri!K$13</f>
        <v>4</v>
      </c>
      <c r="AD99" s="1">
        <f>$O99*[13]ölçme_sistemleri!L$13</f>
        <v>6</v>
      </c>
      <c r="AE99" s="1">
        <f t="shared" si="44"/>
        <v>0</v>
      </c>
      <c r="AF99" s="1">
        <f t="shared" si="45"/>
        <v>4</v>
      </c>
      <c r="AG99" s="1">
        <f t="shared" si="46"/>
        <v>6</v>
      </c>
      <c r="AH99" s="1">
        <f t="shared" si="47"/>
        <v>10</v>
      </c>
      <c r="AI99" s="1">
        <v>14</v>
      </c>
      <c r="AJ99" s="1">
        <f>VLOOKUP(X99,[13]ölçme_sistemleri!I:M,5,FALSE)</f>
        <v>1</v>
      </c>
      <c r="AK99" s="1">
        <f t="shared" si="48"/>
        <v>140</v>
      </c>
      <c r="AL99" s="1">
        <f>AI99*4</f>
        <v>56</v>
      </c>
      <c r="AM99" s="1">
        <f>VLOOKUP(X99,[13]ölçme_sistemleri!I:N,6,FALSE)</f>
        <v>2</v>
      </c>
      <c r="AN99" s="1">
        <v>2</v>
      </c>
      <c r="AO99" s="1">
        <f t="shared" si="49"/>
        <v>4</v>
      </c>
      <c r="AP99" s="1">
        <v>14</v>
      </c>
      <c r="AQ99" s="1">
        <f t="shared" si="59"/>
        <v>28</v>
      </c>
      <c r="AR99" s="1">
        <f t="shared" si="50"/>
        <v>98</v>
      </c>
      <c r="AS99" s="1">
        <f t="shared" si="69"/>
        <v>25</v>
      </c>
      <c r="AT99" s="1">
        <f t="shared" si="51"/>
        <v>4</v>
      </c>
      <c r="AU99" s="1">
        <f t="shared" si="60"/>
        <v>0</v>
      </c>
      <c r="AV99" s="1">
        <f t="shared" si="73"/>
        <v>0</v>
      </c>
      <c r="AW99" s="1">
        <f t="shared" si="74"/>
        <v>0</v>
      </c>
      <c r="AX99" s="1">
        <f t="shared" si="75"/>
        <v>0</v>
      </c>
      <c r="AY99" s="1">
        <f t="shared" si="52"/>
        <v>-10</v>
      </c>
      <c r="AZ99" s="1">
        <f t="shared" si="76"/>
        <v>0</v>
      </c>
      <c r="BA99" s="1">
        <f t="shared" si="53"/>
        <v>-56</v>
      </c>
      <c r="BB99" s="1">
        <f t="shared" si="72"/>
        <v>0</v>
      </c>
      <c r="BC99" s="1">
        <f t="shared" si="55"/>
        <v>-4</v>
      </c>
      <c r="BD99" s="1">
        <f t="shared" si="56"/>
        <v>0</v>
      </c>
      <c r="BE99" s="1" t="s">
        <v>65</v>
      </c>
      <c r="BF99" s="1">
        <f t="shared" si="70"/>
        <v>28</v>
      </c>
      <c r="BG99" s="1">
        <f t="shared" si="71"/>
        <v>28</v>
      </c>
      <c r="BH99" s="1">
        <f t="shared" si="58"/>
        <v>1</v>
      </c>
      <c r="BI99" s="1" t="e">
        <f>IF(BH99-#REF!=0,"DOĞRU","YANLIŞ")</f>
        <v>#REF!</v>
      </c>
      <c r="BJ99" s="1" t="e">
        <f>#REF!-BH99</f>
        <v>#REF!</v>
      </c>
      <c r="BK99" s="1">
        <v>1</v>
      </c>
      <c r="BM99" s="1">
        <v>0</v>
      </c>
      <c r="BO99" s="1">
        <v>2</v>
      </c>
      <c r="BT99" s="8">
        <f t="shared" si="77"/>
        <v>0</v>
      </c>
      <c r="BU99" s="9"/>
      <c r="BV99" s="10"/>
      <c r="BW99" s="11"/>
      <c r="BX99" s="11"/>
      <c r="BY99" s="11"/>
      <c r="BZ99" s="11"/>
      <c r="CA99" s="11"/>
      <c r="CB99" s="12"/>
      <c r="CC99" s="13"/>
      <c r="CD99" s="14"/>
      <c r="CL99" s="50"/>
      <c r="CM99" s="50"/>
      <c r="CN99" s="50"/>
      <c r="CO99" s="50"/>
      <c r="CP99" s="50"/>
      <c r="CQ99" s="51"/>
      <c r="CR99" s="52"/>
      <c r="CS99" s="49"/>
      <c r="CT99" s="49"/>
      <c r="CU99" s="53"/>
      <c r="CV99" s="53"/>
      <c r="CW99" s="49"/>
      <c r="CX99" s="49"/>
    </row>
    <row r="100" spans="1:102" hidden="1" x14ac:dyDescent="0.25">
      <c r="A100" s="1" t="s">
        <v>171</v>
      </c>
      <c r="B100" s="1" t="s">
        <v>172</v>
      </c>
      <c r="C100" s="1" t="s">
        <v>172</v>
      </c>
      <c r="D100" s="2" t="s">
        <v>63</v>
      </c>
      <c r="E100" s="2" t="s">
        <v>63</v>
      </c>
      <c r="F100" s="3" t="e">
        <f>IF(BE100="S",
IF(#REF!+BM100=2018,
IF(#REF!=1,"18-19/1",
IF(#REF!=2,"18-19/2",
IF(#REF!=3,"19-20/1",
IF(#REF!=4,"19-20/2",
IF(#REF!=5,"20-21/1",
IF(#REF!=6,"20-21/2",
IF(#REF!=7,"21-22/1",
IF(#REF!=8,"21-22/2","Hata1")))))))),
IF(#REF!+BM100=2019,
IF(#REF!=1,"19-20/1",
IF(#REF!=2,"19-20/2",
IF(#REF!=3,"20-21/1",
IF(#REF!=4,"20-21/2",
IF(#REF!=5,"21-22/1",
IF(#REF!=6,"21-22/2",
IF(#REF!=7,"22-23/1",
IF(#REF!=8,"22-23/2","Hata2")))))))),
IF(#REF!+BM100=2020,
IF(#REF!=1,"20-21/1",
IF(#REF!=2,"20-21/2",
IF(#REF!=3,"21-22/1",
IF(#REF!=4,"21-22/2",
IF(#REF!=5,"22-23/1",
IF(#REF!=6,"22-23/2",
IF(#REF!=7,"23-24/1",
IF(#REF!=8,"23-24/2","Hata3")))))))),
IF(#REF!+BM100=2021,
IF(#REF!=1,"21-22/1",
IF(#REF!=2,"21-22/2",
IF(#REF!=3,"22-23/1",
IF(#REF!=4,"22-23/2",
IF(#REF!=5,"23-24/1",
IF(#REF!=6,"23-24/2",
IF(#REF!=7,"24-25/1",
IF(#REF!=8,"24-25/2","Hata4")))))))),
IF(#REF!+BM100=2022,
IF(#REF!=1,"22-23/1",
IF(#REF!=2,"22-23/2",
IF(#REF!=3,"23-24/1",
IF(#REF!=4,"23-24/2",
IF(#REF!=5,"24-25/1",
IF(#REF!=6,"24-25/2",
IF(#REF!=7,"25-26/1",
IF(#REF!=8,"25-26/2","Hata5")))))))),
IF(#REF!+BM100=2023,
IF(#REF!=1,"23-24/1",
IF(#REF!=2,"23-24/2",
IF(#REF!=3,"24-25/1",
IF(#REF!=4,"24-25/2",
IF(#REF!=5,"25-26/1",
IF(#REF!=6,"25-26/2",
IF(#REF!=7,"26-27/1",
IF(#REF!=8,"26-27/2","Hata6")))))))),
)))))),
IF(BE100="T",
IF(#REF!+BM100=2018,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0" s="1" t="s">
        <v>78</v>
      </c>
      <c r="J100" s="1">
        <v>4234784</v>
      </c>
      <c r="L100" s="2">
        <v>4356</v>
      </c>
      <c r="N100" s="2">
        <v>5</v>
      </c>
      <c r="O100" s="6">
        <f t="shared" si="42"/>
        <v>2.5</v>
      </c>
      <c r="P100" s="2">
        <f t="shared" si="43"/>
        <v>3</v>
      </c>
      <c r="Q100" s="2">
        <v>0</v>
      </c>
      <c r="R100" s="2">
        <v>1</v>
      </c>
      <c r="S100" s="2">
        <v>2</v>
      </c>
      <c r="X100" s="3">
        <v>2</v>
      </c>
      <c r="Y100" s="1">
        <f>VLOOKUP(X100,[14]ölçme_sistemleri!I:L,2,FALSE)</f>
        <v>0</v>
      </c>
      <c r="Z100" s="1">
        <f>VLOOKUP(X100,[14]ölçme_sistemleri!I:L,3,FALSE)</f>
        <v>2</v>
      </c>
      <c r="AA100" s="1">
        <f>VLOOKUP(X100,[14]ölçme_sistemleri!I:L,4,FALSE)</f>
        <v>1</v>
      </c>
      <c r="AB100" s="1">
        <f>$O100*[14]ölçme_sistemleri!J$13</f>
        <v>2.5</v>
      </c>
      <c r="AC100" s="1">
        <f>$O100*[14]ölçme_sistemleri!K$13</f>
        <v>5</v>
      </c>
      <c r="AD100" s="1">
        <f>$O100*[14]ölçme_sistemleri!L$13</f>
        <v>7.5</v>
      </c>
      <c r="AE100" s="1">
        <f t="shared" si="44"/>
        <v>0</v>
      </c>
      <c r="AF100" s="1">
        <f t="shared" si="45"/>
        <v>10</v>
      </c>
      <c r="AG100" s="1">
        <f t="shared" si="46"/>
        <v>7.5</v>
      </c>
      <c r="AH100" s="1">
        <f t="shared" si="47"/>
        <v>17.5</v>
      </c>
      <c r="AI100" s="1">
        <v>14</v>
      </c>
      <c r="AJ100" s="1">
        <f>VLOOKUP(X100,[14]ölçme_sistemleri!I:M,5,FALSE)</f>
        <v>2</v>
      </c>
      <c r="AK100" s="1">
        <f t="shared" si="48"/>
        <v>245</v>
      </c>
      <c r="AL100" s="1">
        <f>AI100*4</f>
        <v>56</v>
      </c>
      <c r="AM100" s="1">
        <f>VLOOKUP(X100,[14]ölçme_sistemleri!I:N,6,FALSE)</f>
        <v>3</v>
      </c>
      <c r="AN100" s="1">
        <v>2</v>
      </c>
      <c r="AO100" s="1">
        <f t="shared" si="49"/>
        <v>6</v>
      </c>
      <c r="AP100" s="1">
        <v>14</v>
      </c>
      <c r="AQ100" s="1">
        <f t="shared" si="59"/>
        <v>42</v>
      </c>
      <c r="AR100" s="1">
        <f t="shared" si="50"/>
        <v>121.5</v>
      </c>
      <c r="AS100" s="1">
        <f t="shared" si="69"/>
        <v>25</v>
      </c>
      <c r="AT100" s="1">
        <f t="shared" si="51"/>
        <v>5</v>
      </c>
      <c r="AU100" s="1">
        <f t="shared" si="60"/>
        <v>0</v>
      </c>
      <c r="AV100" s="1">
        <f t="shared" si="73"/>
        <v>0</v>
      </c>
      <c r="AW100" s="1">
        <f t="shared" si="74"/>
        <v>0</v>
      </c>
      <c r="AX100" s="1">
        <f t="shared" si="75"/>
        <v>0</v>
      </c>
      <c r="AY100" s="1">
        <f t="shared" si="52"/>
        <v>-17.5</v>
      </c>
      <c r="AZ100" s="1">
        <f t="shared" si="76"/>
        <v>0</v>
      </c>
      <c r="BA100" s="1">
        <f t="shared" si="53"/>
        <v>-56</v>
      </c>
      <c r="BB100" s="1">
        <f t="shared" si="72"/>
        <v>0</v>
      </c>
      <c r="BC100" s="1">
        <f t="shared" si="55"/>
        <v>-6</v>
      </c>
      <c r="BD100" s="1">
        <f t="shared" si="56"/>
        <v>0</v>
      </c>
      <c r="BE100" s="1" t="s">
        <v>65</v>
      </c>
      <c r="BF100" s="1">
        <f t="shared" si="70"/>
        <v>35</v>
      </c>
      <c r="BG100" s="1">
        <f t="shared" si="71"/>
        <v>35</v>
      </c>
      <c r="BH100" s="1">
        <f t="shared" si="58"/>
        <v>1</v>
      </c>
      <c r="BI100" s="1" t="e">
        <f>IF(BH100-#REF!=0,"DOĞRU","YANLIŞ")</f>
        <v>#REF!</v>
      </c>
      <c r="BJ100" s="1" t="e">
        <f>#REF!-BH100</f>
        <v>#REF!</v>
      </c>
      <c r="BK100" s="1">
        <v>0</v>
      </c>
      <c r="BM100" s="1">
        <v>0</v>
      </c>
      <c r="BO100" s="1">
        <v>3</v>
      </c>
      <c r="BT100" s="8">
        <f t="shared" si="77"/>
        <v>14</v>
      </c>
      <c r="BU100" s="9"/>
      <c r="BV100" s="10"/>
      <c r="BW100" s="11"/>
      <c r="BX100" s="11"/>
      <c r="BY100" s="11"/>
      <c r="BZ100" s="11"/>
      <c r="CA100" s="11"/>
      <c r="CB100" s="12"/>
      <c r="CC100" s="13"/>
      <c r="CD100" s="14"/>
      <c r="CL100" s="50"/>
      <c r="CM100" s="50"/>
      <c r="CN100" s="50"/>
      <c r="CO100" s="50"/>
      <c r="CP100" s="50"/>
      <c r="CQ100" s="51"/>
      <c r="CR100" s="57"/>
      <c r="CS100" s="49"/>
      <c r="CT100" s="49"/>
      <c r="CU100" s="53"/>
      <c r="CV100" s="53"/>
      <c r="CW100" s="49"/>
      <c r="CX100" s="49"/>
    </row>
    <row r="101" spans="1:102" hidden="1" x14ac:dyDescent="0.25">
      <c r="A101" s="1" t="s">
        <v>188</v>
      </c>
      <c r="B101" s="1" t="s">
        <v>189</v>
      </c>
      <c r="C101" s="1" t="s">
        <v>190</v>
      </c>
      <c r="D101" s="2" t="s">
        <v>63</v>
      </c>
      <c r="E101" s="2" t="s">
        <v>63</v>
      </c>
      <c r="F101" s="3" t="e">
        <f>IF(BE101="S",
IF(#REF!+BM101=2018,
IF(#REF!=1,"18-19/1",
IF(#REF!=2,"18-19/2",
IF(#REF!=3,"19-20/1",
IF(#REF!=4,"19-20/2",
IF(#REF!=5,"20-21/1",
IF(#REF!=6,"20-21/2",
IF(#REF!=7,"21-22/1",
IF(#REF!=8,"21-22/2","Hata1")))))))),
IF(#REF!+BM101=2019,
IF(#REF!=1,"19-20/1",
IF(#REF!=2,"19-20/2",
IF(#REF!=3,"20-21/1",
IF(#REF!=4,"20-21/2",
IF(#REF!=5,"21-22/1",
IF(#REF!=6,"21-22/2",
IF(#REF!=7,"22-23/1",
IF(#REF!=8,"22-23/2","Hata2")))))))),
IF(#REF!+BM101=2020,
IF(#REF!=1,"20-21/1",
IF(#REF!=2,"20-21/2",
IF(#REF!=3,"21-22/1",
IF(#REF!=4,"21-22/2",
IF(#REF!=5,"22-23/1",
IF(#REF!=6,"22-23/2",
IF(#REF!=7,"23-24/1",
IF(#REF!=8,"23-24/2","Hata3")))))))),
IF(#REF!+BM101=2021,
IF(#REF!=1,"21-22/1",
IF(#REF!=2,"21-22/2",
IF(#REF!=3,"22-23/1",
IF(#REF!=4,"22-23/2",
IF(#REF!=5,"23-24/1",
IF(#REF!=6,"23-24/2",
IF(#REF!=7,"24-25/1",
IF(#REF!=8,"24-25/2","Hata4")))))))),
IF(#REF!+BM101=2022,
IF(#REF!=1,"22-23/1",
IF(#REF!=2,"22-23/2",
IF(#REF!=3,"23-24/1",
IF(#REF!=4,"23-24/2",
IF(#REF!=5,"24-25/1",
IF(#REF!=6,"24-25/2",
IF(#REF!=7,"25-26/1",
IF(#REF!=8,"25-26/2","Hata5")))))))),
IF(#REF!+BM101=2023,
IF(#REF!=1,"23-24/1",
IF(#REF!=2,"23-24/2",
IF(#REF!=3,"24-25/1",
IF(#REF!=4,"24-25/2",
IF(#REF!=5,"25-26/1",
IF(#REF!=6,"25-26/2",
IF(#REF!=7,"26-27/1",
IF(#REF!=8,"26-27/2","Hata6")))))))),
)))))),
IF(BE101="T",
IF(#REF!+BM101=2018,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1" s="1" t="s">
        <v>78</v>
      </c>
      <c r="J101" s="1">
        <v>4234784</v>
      </c>
      <c r="L101" s="2">
        <v>2479</v>
      </c>
      <c r="N101" s="2">
        <v>3</v>
      </c>
      <c r="O101" s="6">
        <f t="shared" si="42"/>
        <v>3</v>
      </c>
      <c r="P101" s="2">
        <f t="shared" si="43"/>
        <v>6</v>
      </c>
      <c r="Q101" s="2">
        <v>0</v>
      </c>
      <c r="R101" s="2">
        <v>6</v>
      </c>
      <c r="S101" s="2">
        <v>0</v>
      </c>
      <c r="X101" s="3">
        <v>0</v>
      </c>
      <c r="Y101" s="1">
        <f>VLOOKUP(X101,[14]ölçme_sistemleri!I:L,2,FALSE)</f>
        <v>0</v>
      </c>
      <c r="Z101" s="1">
        <f>VLOOKUP(X101,[14]ölçme_sistemleri!I:L,3,FALSE)</f>
        <v>0</v>
      </c>
      <c r="AA101" s="1">
        <f>VLOOKUP(X101,[14]ölçme_sistemleri!I:L,4,FALSE)</f>
        <v>0</v>
      </c>
      <c r="AB101" s="1">
        <f>$O101*[14]ölçme_sistemleri!J$13</f>
        <v>3</v>
      </c>
      <c r="AC101" s="1">
        <f>$O101*[14]ölçme_sistemleri!K$13</f>
        <v>6</v>
      </c>
      <c r="AD101" s="1">
        <f>$O101*[14]ölçme_sistemleri!L$13</f>
        <v>9</v>
      </c>
      <c r="AE101" s="1">
        <f t="shared" si="44"/>
        <v>0</v>
      </c>
      <c r="AF101" s="1">
        <f t="shared" si="45"/>
        <v>0</v>
      </c>
      <c r="AG101" s="1">
        <f t="shared" si="46"/>
        <v>0</v>
      </c>
      <c r="AH101" s="1">
        <f t="shared" si="47"/>
        <v>0</v>
      </c>
      <c r="AI101" s="1">
        <v>14</v>
      </c>
      <c r="AJ101" s="1">
        <f>VLOOKUP(X101,[14]ölçme_sistemleri!I:M,5,FALSE)</f>
        <v>0</v>
      </c>
      <c r="AK101" s="1">
        <f t="shared" si="48"/>
        <v>0</v>
      </c>
      <c r="AL101" s="1">
        <f t="shared" ref="AL101:AL109" si="78">(Q101+S101)*AI101</f>
        <v>0</v>
      </c>
      <c r="AM101" s="1">
        <f>VLOOKUP(X101,[14]ölçme_sistemleri!I:N,6,FALSE)</f>
        <v>0</v>
      </c>
      <c r="AN101" s="1">
        <v>2</v>
      </c>
      <c r="AO101" s="1">
        <f t="shared" si="49"/>
        <v>0</v>
      </c>
      <c r="AP101" s="1">
        <v>14</v>
      </c>
      <c r="AQ101" s="1">
        <f t="shared" si="59"/>
        <v>84</v>
      </c>
      <c r="AR101" s="1">
        <f t="shared" si="50"/>
        <v>84</v>
      </c>
      <c r="AS101" s="1">
        <f t="shared" si="69"/>
        <v>25</v>
      </c>
      <c r="AT101" s="1">
        <f t="shared" si="51"/>
        <v>3</v>
      </c>
      <c r="AU101" s="1">
        <f t="shared" si="60"/>
        <v>0</v>
      </c>
      <c r="AV101" s="1">
        <f t="shared" si="73"/>
        <v>0</v>
      </c>
      <c r="AW101" s="1">
        <f t="shared" si="74"/>
        <v>0</v>
      </c>
      <c r="AX101" s="1">
        <f t="shared" si="75"/>
        <v>0</v>
      </c>
      <c r="AY101" s="1">
        <f t="shared" si="52"/>
        <v>-9</v>
      </c>
      <c r="AZ101" s="1">
        <f t="shared" si="76"/>
        <v>0</v>
      </c>
      <c r="BA101" s="1">
        <f t="shared" si="53"/>
        <v>0</v>
      </c>
      <c r="BB101" s="1">
        <f t="shared" si="72"/>
        <v>0</v>
      </c>
      <c r="BC101" s="1">
        <f t="shared" si="55"/>
        <v>0</v>
      </c>
      <c r="BD101" s="1">
        <f t="shared" si="56"/>
        <v>0</v>
      </c>
      <c r="BE101" s="1" t="s">
        <v>65</v>
      </c>
      <c r="BF101" s="1">
        <f t="shared" si="70"/>
        <v>42</v>
      </c>
      <c r="BG101" s="1">
        <f t="shared" si="71"/>
        <v>42</v>
      </c>
      <c r="BH101" s="1">
        <f t="shared" si="58"/>
        <v>1</v>
      </c>
      <c r="BI101" s="1" t="e">
        <f>IF(BH101-#REF!=0,"DOĞRU","YANLIŞ")</f>
        <v>#REF!</v>
      </c>
      <c r="BJ101" s="1" t="e">
        <f>#REF!-BH101</f>
        <v>#REF!</v>
      </c>
      <c r="BK101" s="1">
        <v>0</v>
      </c>
      <c r="BM101" s="1">
        <v>0</v>
      </c>
      <c r="BO101" s="1">
        <v>3</v>
      </c>
      <c r="BT101" s="8">
        <f t="shared" si="77"/>
        <v>84</v>
      </c>
      <c r="BU101" s="9"/>
      <c r="BV101" s="10"/>
      <c r="BW101" s="11"/>
      <c r="BX101" s="11"/>
      <c r="BY101" s="11"/>
      <c r="BZ101" s="11"/>
      <c r="CA101" s="11"/>
      <c r="CB101" s="12"/>
      <c r="CC101" s="13"/>
      <c r="CD101" s="14"/>
      <c r="CL101" s="11"/>
      <c r="CM101" s="11"/>
      <c r="CN101" s="11"/>
      <c r="CO101" s="11"/>
      <c r="CP101" s="11"/>
      <c r="CQ101" s="46"/>
      <c r="CR101" s="46"/>
      <c r="CS101" s="48"/>
      <c r="CT101" s="48"/>
      <c r="CU101" s="48"/>
      <c r="CV101" s="48"/>
      <c r="CW101" s="49"/>
      <c r="CX101" s="49"/>
    </row>
    <row r="102" spans="1:102" hidden="1" x14ac:dyDescent="0.25">
      <c r="A102" s="1" t="s">
        <v>154</v>
      </c>
      <c r="B102" s="1" t="s">
        <v>155</v>
      </c>
      <c r="C102" s="1" t="s">
        <v>155</v>
      </c>
      <c r="D102" s="2" t="s">
        <v>63</v>
      </c>
      <c r="E102" s="2" t="s">
        <v>63</v>
      </c>
      <c r="F102" s="3" t="e">
        <f>IF(BE102="S",
IF(#REF!+BM102=2018,
IF(#REF!=1,"18-19/1",
IF(#REF!=2,"18-19/2",
IF(#REF!=3,"19-20/1",
IF(#REF!=4,"19-20/2",
IF(#REF!=5,"20-21/1",
IF(#REF!=6,"20-21/2",
IF(#REF!=7,"21-22/1",
IF(#REF!=8,"21-22/2","Hata1")))))))),
IF(#REF!+BM102=2019,
IF(#REF!=1,"19-20/1",
IF(#REF!=2,"19-20/2",
IF(#REF!=3,"20-21/1",
IF(#REF!=4,"20-21/2",
IF(#REF!=5,"21-22/1",
IF(#REF!=6,"21-22/2",
IF(#REF!=7,"22-23/1",
IF(#REF!=8,"22-23/2","Hata2")))))))),
IF(#REF!+BM102=2020,
IF(#REF!=1,"20-21/1",
IF(#REF!=2,"20-21/2",
IF(#REF!=3,"21-22/1",
IF(#REF!=4,"21-22/2",
IF(#REF!=5,"22-23/1",
IF(#REF!=6,"22-23/2",
IF(#REF!=7,"23-24/1",
IF(#REF!=8,"23-24/2","Hata3")))))))),
IF(#REF!+BM102=2021,
IF(#REF!=1,"21-22/1",
IF(#REF!=2,"21-22/2",
IF(#REF!=3,"22-23/1",
IF(#REF!=4,"22-23/2",
IF(#REF!=5,"23-24/1",
IF(#REF!=6,"23-24/2",
IF(#REF!=7,"24-25/1",
IF(#REF!=8,"24-25/2","Hata4")))))))),
IF(#REF!+BM102=2022,
IF(#REF!=1,"22-23/1",
IF(#REF!=2,"22-23/2",
IF(#REF!=3,"23-24/1",
IF(#REF!=4,"23-24/2",
IF(#REF!=5,"24-25/1",
IF(#REF!=6,"24-25/2",
IF(#REF!=7,"25-26/1",
IF(#REF!=8,"25-26/2","Hata5")))))))),
IF(#REF!+BM102=2023,
IF(#REF!=1,"23-24/1",
IF(#REF!=2,"23-24/2",
IF(#REF!=3,"24-25/1",
IF(#REF!=4,"24-25/2",
IF(#REF!=5,"25-26/1",
IF(#REF!=6,"25-26/2",
IF(#REF!=7,"26-27/1",
IF(#REF!=8,"26-27/2","Hata6")))))))),
)))))),
IF(BE102="T",
IF(#REF!+BM102=2018,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2" s="1" t="s">
        <v>78</v>
      </c>
      <c r="J102" s="1">
        <v>4234784</v>
      </c>
      <c r="L102" s="2">
        <v>2575</v>
      </c>
      <c r="N102" s="2">
        <v>3</v>
      </c>
      <c r="O102" s="6">
        <f t="shared" si="42"/>
        <v>2.5</v>
      </c>
      <c r="P102" s="2">
        <f t="shared" si="43"/>
        <v>3</v>
      </c>
      <c r="Q102" s="2">
        <v>2</v>
      </c>
      <c r="R102" s="2">
        <v>1</v>
      </c>
      <c r="S102" s="2">
        <v>0</v>
      </c>
      <c r="X102" s="3">
        <v>4</v>
      </c>
      <c r="Y102" s="1">
        <f>VLOOKUP(X102,[13]ölçme_sistemleri!I:L,2,FALSE)</f>
        <v>0</v>
      </c>
      <c r="Z102" s="1">
        <f>VLOOKUP(X102,[13]ölçme_sistemleri!I:L,3,FALSE)</f>
        <v>1</v>
      </c>
      <c r="AA102" s="1">
        <f>VLOOKUP(X102,[13]ölçme_sistemleri!I:L,4,FALSE)</f>
        <v>1</v>
      </c>
      <c r="AB102" s="1">
        <f>$O102*[13]ölçme_sistemleri!J$13</f>
        <v>2.5</v>
      </c>
      <c r="AC102" s="1">
        <f>$O102*[13]ölçme_sistemleri!K$13</f>
        <v>5</v>
      </c>
      <c r="AD102" s="1">
        <f>$O102*[13]ölçme_sistemleri!L$13</f>
        <v>7.5</v>
      </c>
      <c r="AE102" s="1">
        <f t="shared" si="44"/>
        <v>0</v>
      </c>
      <c r="AF102" s="1">
        <f t="shared" si="45"/>
        <v>5</v>
      </c>
      <c r="AG102" s="1">
        <f t="shared" si="46"/>
        <v>7.5</v>
      </c>
      <c r="AH102" s="1">
        <f t="shared" si="47"/>
        <v>12.5</v>
      </c>
      <c r="AI102" s="1">
        <v>14</v>
      </c>
      <c r="AJ102" s="1">
        <f>VLOOKUP(X102,[13]ölçme_sistemleri!I:M,5,FALSE)</f>
        <v>1</v>
      </c>
      <c r="AK102" s="1">
        <f t="shared" si="48"/>
        <v>175</v>
      </c>
      <c r="AL102" s="1">
        <f t="shared" si="78"/>
        <v>28</v>
      </c>
      <c r="AM102" s="1">
        <f>VLOOKUP(X102,[13]ölçme_sistemleri!I:N,6,FALSE)</f>
        <v>2</v>
      </c>
      <c r="AN102" s="1">
        <v>2</v>
      </c>
      <c r="AO102" s="1">
        <f t="shared" si="49"/>
        <v>4</v>
      </c>
      <c r="AP102" s="1">
        <v>14</v>
      </c>
      <c r="AQ102" s="1">
        <f t="shared" si="59"/>
        <v>42</v>
      </c>
      <c r="AR102" s="1">
        <f t="shared" si="50"/>
        <v>86.5</v>
      </c>
      <c r="AS102" s="1">
        <f t="shared" si="69"/>
        <v>25</v>
      </c>
      <c r="AT102" s="1">
        <f t="shared" si="51"/>
        <v>3</v>
      </c>
      <c r="AU102" s="1">
        <f t="shared" si="60"/>
        <v>0</v>
      </c>
      <c r="AV102" s="1">
        <f t="shared" si="73"/>
        <v>0</v>
      </c>
      <c r="AW102" s="1">
        <f t="shared" si="74"/>
        <v>0</v>
      </c>
      <c r="AX102" s="1">
        <f t="shared" si="75"/>
        <v>0</v>
      </c>
      <c r="AY102" s="1">
        <f t="shared" si="52"/>
        <v>-12.5</v>
      </c>
      <c r="AZ102" s="1">
        <f t="shared" si="76"/>
        <v>0</v>
      </c>
      <c r="BA102" s="1">
        <f t="shared" si="53"/>
        <v>-28</v>
      </c>
      <c r="BB102" s="1">
        <f t="shared" si="72"/>
        <v>0</v>
      </c>
      <c r="BC102" s="1">
        <f t="shared" si="55"/>
        <v>-4</v>
      </c>
      <c r="BD102" s="1">
        <f t="shared" si="56"/>
        <v>0</v>
      </c>
      <c r="BE102" s="1" t="s">
        <v>65</v>
      </c>
      <c r="BF102" s="1">
        <f t="shared" si="70"/>
        <v>35</v>
      </c>
      <c r="BG102" s="1">
        <f t="shared" si="71"/>
        <v>35</v>
      </c>
      <c r="BH102" s="1">
        <f t="shared" si="58"/>
        <v>1</v>
      </c>
      <c r="BI102" s="1" t="e">
        <f>IF(BH102-#REF!=0,"DOĞRU","YANLIŞ")</f>
        <v>#REF!</v>
      </c>
      <c r="BJ102" s="1" t="e">
        <f>#REF!-BH102</f>
        <v>#REF!</v>
      </c>
      <c r="BK102" s="1">
        <v>0</v>
      </c>
      <c r="BM102" s="1">
        <v>0</v>
      </c>
      <c r="BO102" s="1">
        <v>4</v>
      </c>
      <c r="BT102" s="8">
        <f t="shared" si="77"/>
        <v>14</v>
      </c>
      <c r="BU102" s="9"/>
      <c r="BV102" s="10"/>
      <c r="BW102" s="11"/>
      <c r="BX102" s="11"/>
      <c r="BY102" s="11"/>
      <c r="BZ102" s="11"/>
      <c r="CA102" s="11"/>
      <c r="CB102" s="12"/>
      <c r="CC102" s="13"/>
      <c r="CD102" s="14"/>
      <c r="CL102" s="11"/>
      <c r="CM102" s="11"/>
      <c r="CN102" s="11"/>
      <c r="CO102" s="11"/>
      <c r="CP102" s="11"/>
      <c r="CQ102" s="54"/>
      <c r="CR102" s="46"/>
      <c r="CS102" s="54"/>
      <c r="CT102" s="48"/>
      <c r="CU102" s="48"/>
      <c r="CV102" s="48"/>
      <c r="CW102" s="49"/>
      <c r="CX102" s="49"/>
    </row>
    <row r="103" spans="1:102" hidden="1" x14ac:dyDescent="0.25">
      <c r="A103" s="1" t="s">
        <v>127</v>
      </c>
      <c r="B103" s="1" t="s">
        <v>128</v>
      </c>
      <c r="C103" s="1" t="s">
        <v>128</v>
      </c>
      <c r="D103" s="2" t="s">
        <v>63</v>
      </c>
      <c r="E103" s="2" t="s">
        <v>63</v>
      </c>
      <c r="F103" s="3" t="e">
        <f>IF(BE103="S",
IF(#REF!+BM103=2018,
IF(#REF!=1,"18-19/1",
IF(#REF!=2,"18-19/2",
IF(#REF!=3,"19-20/1",
IF(#REF!=4,"19-20/2",
IF(#REF!=5,"20-21/1",
IF(#REF!=6,"20-21/2",
IF(#REF!=7,"21-22/1",
IF(#REF!=8,"21-22/2","Hata1")))))))),
IF(#REF!+BM103=2019,
IF(#REF!=1,"19-20/1",
IF(#REF!=2,"19-20/2",
IF(#REF!=3,"20-21/1",
IF(#REF!=4,"20-21/2",
IF(#REF!=5,"21-22/1",
IF(#REF!=6,"21-22/2",
IF(#REF!=7,"22-23/1",
IF(#REF!=8,"22-23/2","Hata2")))))))),
IF(#REF!+BM103=2020,
IF(#REF!=1,"20-21/1",
IF(#REF!=2,"20-21/2",
IF(#REF!=3,"21-22/1",
IF(#REF!=4,"21-22/2",
IF(#REF!=5,"22-23/1",
IF(#REF!=6,"22-23/2",
IF(#REF!=7,"23-24/1",
IF(#REF!=8,"23-24/2","Hata3")))))))),
IF(#REF!+BM103=2021,
IF(#REF!=1,"21-22/1",
IF(#REF!=2,"21-22/2",
IF(#REF!=3,"22-23/1",
IF(#REF!=4,"22-23/2",
IF(#REF!=5,"23-24/1",
IF(#REF!=6,"23-24/2",
IF(#REF!=7,"24-25/1",
IF(#REF!=8,"24-25/2","Hata4")))))))),
IF(#REF!+BM103=2022,
IF(#REF!=1,"22-23/1",
IF(#REF!=2,"22-23/2",
IF(#REF!=3,"23-24/1",
IF(#REF!=4,"23-24/2",
IF(#REF!=5,"24-25/1",
IF(#REF!=6,"24-25/2",
IF(#REF!=7,"25-26/1",
IF(#REF!=8,"25-26/2","Hata5")))))))),
IF(#REF!+BM103=2023,
IF(#REF!=1,"23-24/1",
IF(#REF!=2,"23-24/2",
IF(#REF!=3,"24-25/1",
IF(#REF!=4,"24-25/2",
IF(#REF!=5,"25-26/1",
IF(#REF!=6,"25-26/2",
IF(#REF!=7,"26-27/1",
IF(#REF!=8,"26-27/2","Hata6")))))))),
)))))),
IF(BE103="T",
IF(#REF!+BM103=2018,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3" s="1" t="s">
        <v>78</v>
      </c>
      <c r="J103" s="1">
        <v>4234784</v>
      </c>
      <c r="L103" s="2">
        <v>3422</v>
      </c>
      <c r="N103" s="2">
        <v>3</v>
      </c>
      <c r="O103" s="6">
        <f t="shared" si="42"/>
        <v>2</v>
      </c>
      <c r="P103" s="2">
        <f t="shared" si="43"/>
        <v>2</v>
      </c>
      <c r="Q103" s="2">
        <v>0</v>
      </c>
      <c r="R103" s="2">
        <v>0</v>
      </c>
      <c r="S103" s="2">
        <v>2</v>
      </c>
      <c r="X103" s="3">
        <v>2</v>
      </c>
      <c r="Y103" s="1">
        <f>VLOOKUP(X103,[6]ölçme_sistemleri!I:L,2,FALSE)</f>
        <v>0</v>
      </c>
      <c r="Z103" s="1">
        <f>VLOOKUP(X103,[6]ölçme_sistemleri!I:L,3,FALSE)</f>
        <v>2</v>
      </c>
      <c r="AA103" s="1">
        <f>VLOOKUP(X103,[6]ölçme_sistemleri!I:L,4,FALSE)</f>
        <v>1</v>
      </c>
      <c r="AB103" s="1">
        <f>$O103*[6]ölçme_sistemleri!$J$13</f>
        <v>2</v>
      </c>
      <c r="AC103" s="1">
        <f>$O103*[6]ölçme_sistemleri!$K$13</f>
        <v>4</v>
      </c>
      <c r="AD103" s="1">
        <f>$O103*[6]ölçme_sistemleri!$L$13</f>
        <v>6</v>
      </c>
      <c r="AE103" s="1">
        <f t="shared" si="44"/>
        <v>0</v>
      </c>
      <c r="AF103" s="1">
        <f t="shared" si="45"/>
        <v>8</v>
      </c>
      <c r="AG103" s="1">
        <f t="shared" si="46"/>
        <v>6</v>
      </c>
      <c r="AH103" s="1">
        <f t="shared" si="47"/>
        <v>14</v>
      </c>
      <c r="AI103" s="1">
        <v>14</v>
      </c>
      <c r="AJ103" s="1">
        <f>VLOOKUP(X103,[6]ölçme_sistemleri!I:M,5,FALSE)</f>
        <v>2</v>
      </c>
      <c r="AK103" s="1">
        <f t="shared" si="48"/>
        <v>196</v>
      </c>
      <c r="AL103" s="1">
        <f t="shared" si="78"/>
        <v>28</v>
      </c>
      <c r="AM103" s="1">
        <f>VLOOKUP(X103,[6]ölçme_sistemleri!I:N,6,FALSE)</f>
        <v>3</v>
      </c>
      <c r="AN103" s="1">
        <v>2</v>
      </c>
      <c r="AO103" s="1">
        <f t="shared" si="49"/>
        <v>6</v>
      </c>
      <c r="AP103" s="1">
        <v>14</v>
      </c>
      <c r="AQ103" s="1">
        <f t="shared" si="59"/>
        <v>28</v>
      </c>
      <c r="AR103" s="1">
        <f t="shared" si="50"/>
        <v>76</v>
      </c>
      <c r="AS103" s="1">
        <f>IF(BE103="s",30,25)</f>
        <v>30</v>
      </c>
      <c r="AT103" s="1">
        <f t="shared" si="51"/>
        <v>3</v>
      </c>
      <c r="AU103" s="1">
        <f t="shared" si="60"/>
        <v>0</v>
      </c>
      <c r="AV103" s="1">
        <f t="shared" si="73"/>
        <v>0</v>
      </c>
      <c r="AW103" s="1">
        <f t="shared" si="74"/>
        <v>0</v>
      </c>
      <c r="AX103" s="1">
        <f t="shared" si="75"/>
        <v>0</v>
      </c>
      <c r="AY103" s="1">
        <f t="shared" si="52"/>
        <v>-14</v>
      </c>
      <c r="AZ103" s="1">
        <f t="shared" si="76"/>
        <v>0</v>
      </c>
      <c r="BA103" s="1">
        <f t="shared" si="53"/>
        <v>-28</v>
      </c>
      <c r="BB103" s="1">
        <f t="shared" si="72"/>
        <v>0</v>
      </c>
      <c r="BC103" s="1">
        <f t="shared" si="55"/>
        <v>-6</v>
      </c>
      <c r="BD103" s="1">
        <f t="shared" si="56"/>
        <v>0</v>
      </c>
      <c r="BE103" s="1" t="s">
        <v>65</v>
      </c>
      <c r="BF103" s="1">
        <f t="shared" si="70"/>
        <v>28</v>
      </c>
      <c r="BG103" s="1">
        <f t="shared" si="71"/>
        <v>28</v>
      </c>
      <c r="BH103" s="1">
        <f t="shared" si="58"/>
        <v>1</v>
      </c>
      <c r="BI103" s="1" t="e">
        <f>IF(BH103-#REF!=0,"DOĞRU","YANLIŞ")</f>
        <v>#REF!</v>
      </c>
      <c r="BJ103" s="1" t="e">
        <f>#REF!-BH103</f>
        <v>#REF!</v>
      </c>
      <c r="BK103" s="1">
        <v>0</v>
      </c>
      <c r="BM103" s="1">
        <v>0</v>
      </c>
      <c r="BO103" s="1">
        <v>4</v>
      </c>
      <c r="BT103" s="8">
        <f t="shared" si="77"/>
        <v>0</v>
      </c>
      <c r="BU103" s="9"/>
      <c r="BV103" s="10"/>
      <c r="BW103" s="11"/>
      <c r="BX103" s="11"/>
      <c r="BY103" s="11"/>
      <c r="BZ103" s="11"/>
      <c r="CA103" s="11"/>
      <c r="CB103" s="12"/>
      <c r="CC103" s="13"/>
      <c r="CD103" s="14"/>
      <c r="CL103" s="11"/>
      <c r="CM103" s="11"/>
      <c r="CN103" s="11"/>
      <c r="CO103" s="11"/>
      <c r="CP103" s="50"/>
      <c r="CQ103" s="54"/>
      <c r="CR103" s="46"/>
      <c r="CS103" s="54"/>
      <c r="CT103" s="48"/>
      <c r="CU103" s="48"/>
      <c r="CV103" s="48"/>
      <c r="CW103" s="49"/>
      <c r="CX103" s="49"/>
    </row>
    <row r="104" spans="1:102" hidden="1" x14ac:dyDescent="0.25">
      <c r="A104" s="1" t="s">
        <v>127</v>
      </c>
      <c r="B104" s="1" t="s">
        <v>128</v>
      </c>
      <c r="C104" s="1" t="s">
        <v>128</v>
      </c>
      <c r="D104" s="2" t="s">
        <v>63</v>
      </c>
      <c r="E104" s="2" t="s">
        <v>63</v>
      </c>
      <c r="F104" s="3" t="e">
        <f>IF(BE104="S",
IF(#REF!+BM104=2018,
IF(#REF!=1,"18-19/1",
IF(#REF!=2,"18-19/2",
IF(#REF!=3,"19-20/1",
IF(#REF!=4,"19-20/2",
IF(#REF!=5,"20-21/1",
IF(#REF!=6,"20-21/2",
IF(#REF!=7,"21-22/1",
IF(#REF!=8,"21-22/2","Hata1")))))))),
IF(#REF!+BM104=2019,
IF(#REF!=1,"19-20/1",
IF(#REF!=2,"19-20/2",
IF(#REF!=3,"20-21/1",
IF(#REF!=4,"20-21/2",
IF(#REF!=5,"21-22/1",
IF(#REF!=6,"21-22/2",
IF(#REF!=7,"22-23/1",
IF(#REF!=8,"22-23/2","Hata2")))))))),
IF(#REF!+BM104=2020,
IF(#REF!=1,"20-21/1",
IF(#REF!=2,"20-21/2",
IF(#REF!=3,"21-22/1",
IF(#REF!=4,"21-22/2",
IF(#REF!=5,"22-23/1",
IF(#REF!=6,"22-23/2",
IF(#REF!=7,"23-24/1",
IF(#REF!=8,"23-24/2","Hata3")))))))),
IF(#REF!+BM104=2021,
IF(#REF!=1,"21-22/1",
IF(#REF!=2,"21-22/2",
IF(#REF!=3,"22-23/1",
IF(#REF!=4,"22-23/2",
IF(#REF!=5,"23-24/1",
IF(#REF!=6,"23-24/2",
IF(#REF!=7,"24-25/1",
IF(#REF!=8,"24-25/2","Hata4")))))))),
IF(#REF!+BM104=2022,
IF(#REF!=1,"22-23/1",
IF(#REF!=2,"22-23/2",
IF(#REF!=3,"23-24/1",
IF(#REF!=4,"23-24/2",
IF(#REF!=5,"24-25/1",
IF(#REF!=6,"24-25/2",
IF(#REF!=7,"25-26/1",
IF(#REF!=8,"25-26/2","Hata5")))))))),
IF(#REF!+BM104=2023,
IF(#REF!=1,"23-24/1",
IF(#REF!=2,"23-24/2",
IF(#REF!=3,"24-25/1",
IF(#REF!=4,"24-25/2",
IF(#REF!=5,"25-26/1",
IF(#REF!=6,"25-26/2",
IF(#REF!=7,"26-27/1",
IF(#REF!=8,"26-27/2","Hata6")))))))),
)))))),
IF(BE104="T",
IF(#REF!+BM104=2018,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4" s="1" t="s">
        <v>78</v>
      </c>
      <c r="J104" s="1">
        <v>4234784</v>
      </c>
      <c r="L104" s="2">
        <v>3422</v>
      </c>
      <c r="N104" s="2">
        <v>3</v>
      </c>
      <c r="O104" s="6">
        <f t="shared" si="42"/>
        <v>2</v>
      </c>
      <c r="P104" s="2">
        <f t="shared" si="43"/>
        <v>2</v>
      </c>
      <c r="Q104" s="2">
        <v>0</v>
      </c>
      <c r="R104" s="2">
        <v>0</v>
      </c>
      <c r="S104" s="2">
        <v>2</v>
      </c>
      <c r="X104" s="3">
        <v>2</v>
      </c>
      <c r="Y104" s="1">
        <f>VLOOKUP(X104,[6]ölçme_sistemleri!I:L,2,FALSE)</f>
        <v>0</v>
      </c>
      <c r="Z104" s="1">
        <f>VLOOKUP(X104,[6]ölçme_sistemleri!I:L,3,FALSE)</f>
        <v>2</v>
      </c>
      <c r="AA104" s="1">
        <f>VLOOKUP(X104,[6]ölçme_sistemleri!I:L,4,FALSE)</f>
        <v>1</v>
      </c>
      <c r="AB104" s="1">
        <f>$O104*[6]ölçme_sistemleri!$J$13</f>
        <v>2</v>
      </c>
      <c r="AC104" s="1">
        <f>$O104*[6]ölçme_sistemleri!$K$13</f>
        <v>4</v>
      </c>
      <c r="AD104" s="1">
        <f>$O104*[6]ölçme_sistemleri!$L$13</f>
        <v>6</v>
      </c>
      <c r="AE104" s="1">
        <f t="shared" si="44"/>
        <v>0</v>
      </c>
      <c r="AF104" s="1">
        <f t="shared" si="45"/>
        <v>8</v>
      </c>
      <c r="AG104" s="1">
        <f t="shared" si="46"/>
        <v>6</v>
      </c>
      <c r="AH104" s="1">
        <f t="shared" si="47"/>
        <v>14</v>
      </c>
      <c r="AI104" s="1">
        <v>14</v>
      </c>
      <c r="AJ104" s="1">
        <f>VLOOKUP(X104,[6]ölçme_sistemleri!I:M,5,FALSE)</f>
        <v>2</v>
      </c>
      <c r="AK104" s="1">
        <f t="shared" si="48"/>
        <v>196</v>
      </c>
      <c r="AL104" s="1">
        <f t="shared" si="78"/>
        <v>28</v>
      </c>
      <c r="AM104" s="1">
        <f>VLOOKUP(X104,[6]ölçme_sistemleri!I:N,6,FALSE)</f>
        <v>3</v>
      </c>
      <c r="AN104" s="1">
        <v>2</v>
      </c>
      <c r="AO104" s="1">
        <f t="shared" si="49"/>
        <v>6</v>
      </c>
      <c r="AP104" s="1">
        <v>14</v>
      </c>
      <c r="AQ104" s="1">
        <f t="shared" si="59"/>
        <v>28</v>
      </c>
      <c r="AR104" s="1">
        <f t="shared" si="50"/>
        <v>76</v>
      </c>
      <c r="AS104" s="1">
        <f>IF(BE104="s",30,25)</f>
        <v>30</v>
      </c>
      <c r="AT104" s="1">
        <f t="shared" si="51"/>
        <v>3</v>
      </c>
      <c r="AU104" s="1">
        <f t="shared" si="60"/>
        <v>0</v>
      </c>
      <c r="AV104" s="1">
        <f t="shared" si="73"/>
        <v>0</v>
      </c>
      <c r="AW104" s="1">
        <f t="shared" si="74"/>
        <v>0</v>
      </c>
      <c r="AX104" s="1">
        <f t="shared" si="75"/>
        <v>0</v>
      </c>
      <c r="AY104" s="1">
        <f t="shared" si="52"/>
        <v>-14</v>
      </c>
      <c r="AZ104" s="1">
        <f t="shared" si="76"/>
        <v>0</v>
      </c>
      <c r="BA104" s="1">
        <f t="shared" si="53"/>
        <v>-28</v>
      </c>
      <c r="BB104" s="1">
        <f t="shared" si="72"/>
        <v>0</v>
      </c>
      <c r="BC104" s="1">
        <f t="shared" si="55"/>
        <v>-6</v>
      </c>
      <c r="BD104" s="1">
        <f t="shared" si="56"/>
        <v>0</v>
      </c>
      <c r="BE104" s="1" t="s">
        <v>65</v>
      </c>
      <c r="BF104" s="1">
        <f t="shared" si="70"/>
        <v>28</v>
      </c>
      <c r="BG104" s="1">
        <f t="shared" si="71"/>
        <v>28</v>
      </c>
      <c r="BH104" s="1">
        <f t="shared" si="58"/>
        <v>1</v>
      </c>
      <c r="BI104" s="1" t="e">
        <f>IF(BH104-#REF!=0,"DOĞRU","YANLIŞ")</f>
        <v>#REF!</v>
      </c>
      <c r="BJ104" s="1" t="e">
        <f>#REF!-BH104</f>
        <v>#REF!</v>
      </c>
      <c r="BK104" s="1">
        <v>0</v>
      </c>
      <c r="BM104" s="1">
        <v>0</v>
      </c>
      <c r="BO104" s="1">
        <v>3</v>
      </c>
      <c r="BT104" s="8">
        <f t="shared" si="77"/>
        <v>0</v>
      </c>
      <c r="BU104" s="9"/>
      <c r="BV104" s="10"/>
      <c r="BW104" s="11"/>
      <c r="BX104" s="11"/>
      <c r="BY104" s="11"/>
      <c r="BZ104" s="11"/>
      <c r="CA104" s="11"/>
      <c r="CB104" s="12"/>
      <c r="CC104" s="13"/>
      <c r="CD104" s="14"/>
      <c r="CL104" s="11"/>
      <c r="CM104" s="11"/>
      <c r="CN104" s="11"/>
      <c r="CO104" s="11"/>
      <c r="CP104" s="11"/>
      <c r="CQ104" s="46"/>
      <c r="CR104" s="46"/>
      <c r="CS104" s="48"/>
      <c r="CT104" s="48"/>
      <c r="CU104" s="48"/>
      <c r="CV104" s="48"/>
      <c r="CW104" s="49"/>
      <c r="CX104" s="49"/>
    </row>
    <row r="105" spans="1:102" hidden="1" x14ac:dyDescent="0.25">
      <c r="A105" s="1" t="s">
        <v>129</v>
      </c>
      <c r="B105" s="1" t="s">
        <v>130</v>
      </c>
      <c r="C105" s="1" t="s">
        <v>130</v>
      </c>
      <c r="D105" s="2" t="s">
        <v>63</v>
      </c>
      <c r="E105" s="2" t="s">
        <v>63</v>
      </c>
      <c r="F105" s="3" t="e">
        <f>IF(BE105="S",
IF(#REF!+BM105=2018,
IF(#REF!=1,"18-19/1",
IF(#REF!=2,"18-19/2",
IF(#REF!=3,"19-20/1",
IF(#REF!=4,"19-20/2",
IF(#REF!=5,"20-21/1",
IF(#REF!=6,"20-21/2",
IF(#REF!=7,"21-22/1",
IF(#REF!=8,"21-22/2","Hata1")))))))),
IF(#REF!+BM105=2019,
IF(#REF!=1,"19-20/1",
IF(#REF!=2,"19-20/2",
IF(#REF!=3,"20-21/1",
IF(#REF!=4,"20-21/2",
IF(#REF!=5,"21-22/1",
IF(#REF!=6,"21-22/2",
IF(#REF!=7,"22-23/1",
IF(#REF!=8,"22-23/2","Hata2")))))))),
IF(#REF!+BM105=2020,
IF(#REF!=1,"20-21/1",
IF(#REF!=2,"20-21/2",
IF(#REF!=3,"21-22/1",
IF(#REF!=4,"21-22/2",
IF(#REF!=5,"22-23/1",
IF(#REF!=6,"22-23/2",
IF(#REF!=7,"23-24/1",
IF(#REF!=8,"23-24/2","Hata3")))))))),
IF(#REF!+BM105=2021,
IF(#REF!=1,"21-22/1",
IF(#REF!=2,"21-22/2",
IF(#REF!=3,"22-23/1",
IF(#REF!=4,"22-23/2",
IF(#REF!=5,"23-24/1",
IF(#REF!=6,"23-24/2",
IF(#REF!=7,"24-25/1",
IF(#REF!=8,"24-25/2","Hata4")))))))),
IF(#REF!+BM105=2022,
IF(#REF!=1,"22-23/1",
IF(#REF!=2,"22-23/2",
IF(#REF!=3,"23-24/1",
IF(#REF!=4,"23-24/2",
IF(#REF!=5,"24-25/1",
IF(#REF!=6,"24-25/2",
IF(#REF!=7,"25-26/1",
IF(#REF!=8,"25-26/2","Hata5")))))))),
IF(#REF!+BM105=2023,
IF(#REF!=1,"23-24/1",
IF(#REF!=2,"23-24/2",
IF(#REF!=3,"24-25/1",
IF(#REF!=4,"24-25/2",
IF(#REF!=5,"25-26/1",
IF(#REF!=6,"25-26/2",
IF(#REF!=7,"26-27/1",
IF(#REF!=8,"26-27/2","Hata6")))))))),
)))))),
IF(BE105="T",
IF(#REF!+BM105=2018,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5" s="1" t="s">
        <v>78</v>
      </c>
      <c r="J105" s="1">
        <v>4234784</v>
      </c>
      <c r="L105" s="2">
        <v>3397</v>
      </c>
      <c r="N105" s="2">
        <v>4</v>
      </c>
      <c r="O105" s="6">
        <f t="shared" si="42"/>
        <v>3</v>
      </c>
      <c r="P105" s="2">
        <f t="shared" si="43"/>
        <v>3</v>
      </c>
      <c r="Q105" s="2">
        <v>0</v>
      </c>
      <c r="R105" s="2">
        <v>0</v>
      </c>
      <c r="S105" s="2">
        <v>3</v>
      </c>
      <c r="X105" s="3">
        <v>2</v>
      </c>
      <c r="Y105" s="1">
        <f>VLOOKUP(X105,[6]ölçme_sistemleri!I:L,2,FALSE)</f>
        <v>0</v>
      </c>
      <c r="Z105" s="1">
        <f>VLOOKUP(X105,[6]ölçme_sistemleri!I:L,3,FALSE)</f>
        <v>2</v>
      </c>
      <c r="AA105" s="1">
        <f>VLOOKUP(X105,[6]ölçme_sistemleri!I:L,4,FALSE)</f>
        <v>1</v>
      </c>
      <c r="AB105" s="1">
        <f>$O105*[6]ölçme_sistemleri!$J$13</f>
        <v>3</v>
      </c>
      <c r="AC105" s="1">
        <f>$O105*[6]ölçme_sistemleri!$K$13</f>
        <v>6</v>
      </c>
      <c r="AD105" s="1">
        <f>$O105*[6]ölçme_sistemleri!$L$13</f>
        <v>9</v>
      </c>
      <c r="AE105" s="1">
        <f t="shared" si="44"/>
        <v>0</v>
      </c>
      <c r="AF105" s="1">
        <f t="shared" si="45"/>
        <v>12</v>
      </c>
      <c r="AG105" s="1">
        <f t="shared" si="46"/>
        <v>9</v>
      </c>
      <c r="AH105" s="1">
        <f t="shared" si="47"/>
        <v>21</v>
      </c>
      <c r="AI105" s="1">
        <v>14</v>
      </c>
      <c r="AJ105" s="1">
        <f>VLOOKUP(X105,[6]ölçme_sistemleri!I:M,5,FALSE)</f>
        <v>2</v>
      </c>
      <c r="AK105" s="1">
        <f t="shared" si="48"/>
        <v>294</v>
      </c>
      <c r="AL105" s="1">
        <f t="shared" si="78"/>
        <v>42</v>
      </c>
      <c r="AM105" s="1">
        <f>VLOOKUP(X105,[6]ölçme_sistemleri!I:N,6,FALSE)</f>
        <v>3</v>
      </c>
      <c r="AN105" s="1">
        <v>2</v>
      </c>
      <c r="AO105" s="1">
        <f t="shared" si="49"/>
        <v>6</v>
      </c>
      <c r="AP105" s="1">
        <v>14</v>
      </c>
      <c r="AQ105" s="1">
        <f t="shared" si="59"/>
        <v>42</v>
      </c>
      <c r="AR105" s="1">
        <f t="shared" si="50"/>
        <v>111</v>
      </c>
      <c r="AS105" s="1">
        <f>IF(BE105="s",30,25)</f>
        <v>30</v>
      </c>
      <c r="AT105" s="1">
        <f t="shared" si="51"/>
        <v>4</v>
      </c>
      <c r="AU105" s="1">
        <f t="shared" si="60"/>
        <v>0</v>
      </c>
      <c r="AV105" s="1">
        <f t="shared" si="73"/>
        <v>0</v>
      </c>
      <c r="AW105" s="1">
        <f t="shared" si="74"/>
        <v>0</v>
      </c>
      <c r="AX105" s="1">
        <f t="shared" si="75"/>
        <v>0</v>
      </c>
      <c r="AY105" s="1">
        <f t="shared" si="52"/>
        <v>-21</v>
      </c>
      <c r="AZ105" s="1">
        <f t="shared" si="76"/>
        <v>0</v>
      </c>
      <c r="BA105" s="1">
        <f t="shared" si="53"/>
        <v>-42</v>
      </c>
      <c r="BB105" s="1">
        <f t="shared" si="72"/>
        <v>0</v>
      </c>
      <c r="BC105" s="1">
        <f t="shared" si="55"/>
        <v>-6</v>
      </c>
      <c r="BD105" s="1">
        <f t="shared" si="56"/>
        <v>0</v>
      </c>
      <c r="BE105" s="1" t="s">
        <v>65</v>
      </c>
      <c r="BF105" s="1">
        <f t="shared" si="70"/>
        <v>42</v>
      </c>
      <c r="BG105" s="1">
        <f t="shared" si="71"/>
        <v>42</v>
      </c>
      <c r="BH105" s="1">
        <f t="shared" si="58"/>
        <v>1</v>
      </c>
      <c r="BI105" s="1" t="e">
        <f>IF(BH105-#REF!=0,"DOĞRU","YANLIŞ")</f>
        <v>#REF!</v>
      </c>
      <c r="BJ105" s="1" t="e">
        <f>#REF!-BH105</f>
        <v>#REF!</v>
      </c>
      <c r="BK105" s="1">
        <v>0</v>
      </c>
      <c r="BM105" s="1">
        <v>0</v>
      </c>
      <c r="BO105" s="1">
        <v>4</v>
      </c>
      <c r="BT105" s="8">
        <f t="shared" si="77"/>
        <v>0</v>
      </c>
      <c r="BU105" s="9"/>
      <c r="BV105" s="10"/>
      <c r="BW105" s="11"/>
      <c r="BX105" s="11"/>
      <c r="BY105" s="11"/>
      <c r="BZ105" s="11"/>
      <c r="CA105" s="11"/>
      <c r="CB105" s="12"/>
      <c r="CC105" s="13"/>
      <c r="CD105" s="14"/>
      <c r="CL105" s="11"/>
      <c r="CM105" s="11"/>
      <c r="CN105" s="11"/>
      <c r="CO105" s="11"/>
      <c r="CP105" s="11"/>
      <c r="CQ105" s="49"/>
      <c r="CR105" s="61"/>
      <c r="CS105" s="54"/>
      <c r="CT105" s="48"/>
      <c r="CU105" s="48"/>
      <c r="CV105" s="48"/>
      <c r="CW105" s="49"/>
      <c r="CX105" s="49"/>
    </row>
    <row r="106" spans="1:102" hidden="1" x14ac:dyDescent="0.25">
      <c r="A106" s="1" t="s">
        <v>167</v>
      </c>
      <c r="B106" s="1" t="s">
        <v>168</v>
      </c>
      <c r="C106" s="1" t="s">
        <v>168</v>
      </c>
      <c r="D106" s="2" t="s">
        <v>58</v>
      </c>
      <c r="E106" s="2" t="s">
        <v>58</v>
      </c>
      <c r="F106" s="3" t="e">
        <f>IF(BE106="S",
IF(#REF!+BM106=2018,
IF(#REF!=1,"18-19/1",
IF(#REF!=2,"18-19/2",
IF(#REF!=3,"19-20/1",
IF(#REF!=4,"19-20/2",
IF(#REF!=5,"20-21/1",
IF(#REF!=6,"20-21/2",
IF(#REF!=7,"21-22/1",
IF(#REF!=8,"21-22/2","Hata1")))))))),
IF(#REF!+BM106=2019,
IF(#REF!=1,"19-20/1",
IF(#REF!=2,"19-20/2",
IF(#REF!=3,"20-21/1",
IF(#REF!=4,"20-21/2",
IF(#REF!=5,"21-22/1",
IF(#REF!=6,"21-22/2",
IF(#REF!=7,"22-23/1",
IF(#REF!=8,"22-23/2","Hata2")))))))),
IF(#REF!+BM106=2020,
IF(#REF!=1,"20-21/1",
IF(#REF!=2,"20-21/2",
IF(#REF!=3,"21-22/1",
IF(#REF!=4,"21-22/2",
IF(#REF!=5,"22-23/1",
IF(#REF!=6,"22-23/2",
IF(#REF!=7,"23-24/1",
IF(#REF!=8,"23-24/2","Hata3")))))))),
IF(#REF!+BM106=2021,
IF(#REF!=1,"21-22/1",
IF(#REF!=2,"21-22/2",
IF(#REF!=3,"22-23/1",
IF(#REF!=4,"22-23/2",
IF(#REF!=5,"23-24/1",
IF(#REF!=6,"23-24/2",
IF(#REF!=7,"24-25/1",
IF(#REF!=8,"24-25/2","Hata4")))))))),
IF(#REF!+BM106=2022,
IF(#REF!=1,"22-23/1",
IF(#REF!=2,"22-23/2",
IF(#REF!=3,"23-24/1",
IF(#REF!=4,"23-24/2",
IF(#REF!=5,"24-25/1",
IF(#REF!=6,"24-25/2",
IF(#REF!=7,"25-26/1",
IF(#REF!=8,"25-26/2","Hata5")))))))),
IF(#REF!+BM106=2023,
IF(#REF!=1,"23-24/1",
IF(#REF!=2,"23-24/2",
IF(#REF!=3,"24-25/1",
IF(#REF!=4,"24-25/2",
IF(#REF!=5,"25-26/1",
IF(#REF!=6,"25-26/2",
IF(#REF!=7,"26-27/1",
IF(#REF!=8,"26-27/2","Hata6")))))))),
)))))),
IF(BE106="T",
IF(#REF!+BM106=2018,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6" s="1" t="s">
        <v>78</v>
      </c>
      <c r="J106" s="1">
        <v>4234784</v>
      </c>
      <c r="L106" s="2">
        <v>3030</v>
      </c>
      <c r="N106" s="2">
        <v>4</v>
      </c>
      <c r="O106" s="6">
        <f t="shared" si="42"/>
        <v>3</v>
      </c>
      <c r="P106" s="2">
        <f t="shared" si="43"/>
        <v>3</v>
      </c>
      <c r="Q106" s="2">
        <v>0</v>
      </c>
      <c r="R106" s="2">
        <v>0</v>
      </c>
      <c r="S106" s="2">
        <v>3</v>
      </c>
      <c r="X106" s="3">
        <v>2</v>
      </c>
      <c r="Y106" s="1">
        <f>VLOOKUP(X106,[14]ölçme_sistemleri!I:L,2,FALSE)</f>
        <v>0</v>
      </c>
      <c r="Z106" s="1">
        <f>VLOOKUP(X106,[14]ölçme_sistemleri!I:L,3,FALSE)</f>
        <v>2</v>
      </c>
      <c r="AA106" s="1">
        <f>VLOOKUP(X106,[14]ölçme_sistemleri!I:L,4,FALSE)</f>
        <v>1</v>
      </c>
      <c r="AB106" s="1">
        <f>$O106*[14]ölçme_sistemleri!J$13</f>
        <v>3</v>
      </c>
      <c r="AC106" s="1">
        <f>$O106*[14]ölçme_sistemleri!K$13</f>
        <v>6</v>
      </c>
      <c r="AD106" s="1">
        <f>$O106*[14]ölçme_sistemleri!L$13</f>
        <v>9</v>
      </c>
      <c r="AE106" s="1">
        <f t="shared" si="44"/>
        <v>0</v>
      </c>
      <c r="AF106" s="1">
        <f t="shared" si="45"/>
        <v>12</v>
      </c>
      <c r="AG106" s="1">
        <f t="shared" si="46"/>
        <v>9</v>
      </c>
      <c r="AH106" s="1">
        <f t="shared" si="47"/>
        <v>21</v>
      </c>
      <c r="AI106" s="1">
        <v>14</v>
      </c>
      <c r="AJ106" s="1">
        <f>VLOOKUP(X106,[14]ölçme_sistemleri!I:M,5,FALSE)</f>
        <v>2</v>
      </c>
      <c r="AK106" s="1">
        <f t="shared" si="48"/>
        <v>294</v>
      </c>
      <c r="AL106" s="1">
        <f t="shared" si="78"/>
        <v>42</v>
      </c>
      <c r="AM106" s="1">
        <f>VLOOKUP(X106,[14]ölçme_sistemleri!I:N,6,FALSE)</f>
        <v>3</v>
      </c>
      <c r="AN106" s="1">
        <v>2</v>
      </c>
      <c r="AO106" s="1">
        <f t="shared" si="49"/>
        <v>6</v>
      </c>
      <c r="AP106" s="1">
        <v>14</v>
      </c>
      <c r="AQ106" s="1">
        <f t="shared" si="59"/>
        <v>42</v>
      </c>
      <c r="AR106" s="1">
        <f t="shared" si="50"/>
        <v>111</v>
      </c>
      <c r="AS106" s="1">
        <f>IF(BE106="s",25,30)</f>
        <v>25</v>
      </c>
      <c r="AT106" s="1">
        <f t="shared" si="51"/>
        <v>4</v>
      </c>
      <c r="AU106" s="1">
        <f t="shared" si="60"/>
        <v>0</v>
      </c>
      <c r="AV106" s="1">
        <f t="shared" si="73"/>
        <v>0</v>
      </c>
      <c r="AW106" s="1">
        <f t="shared" si="74"/>
        <v>0</v>
      </c>
      <c r="AX106" s="1">
        <f t="shared" si="75"/>
        <v>0</v>
      </c>
      <c r="AY106" s="1">
        <f t="shared" si="52"/>
        <v>-21</v>
      </c>
      <c r="AZ106" s="1">
        <f t="shared" si="76"/>
        <v>0</v>
      </c>
      <c r="BA106" s="1">
        <f t="shared" si="53"/>
        <v>-42</v>
      </c>
      <c r="BB106" s="1">
        <f t="shared" si="72"/>
        <v>0</v>
      </c>
      <c r="BC106" s="1">
        <f t="shared" si="55"/>
        <v>-6</v>
      </c>
      <c r="BD106" s="1">
        <f t="shared" si="56"/>
        <v>0</v>
      </c>
      <c r="BE106" s="1" t="s">
        <v>65</v>
      </c>
      <c r="BF106" s="1">
        <f t="shared" si="70"/>
        <v>42</v>
      </c>
      <c r="BG106" s="1">
        <f t="shared" si="71"/>
        <v>42</v>
      </c>
      <c r="BH106" s="1">
        <f t="shared" si="58"/>
        <v>1</v>
      </c>
      <c r="BI106" s="1" t="e">
        <f>IF(BH106-#REF!=0,"DOĞRU","YANLIŞ")</f>
        <v>#REF!</v>
      </c>
      <c r="BJ106" s="1" t="e">
        <f>#REF!-BH106</f>
        <v>#REF!</v>
      </c>
      <c r="BK106" s="1">
        <v>0</v>
      </c>
      <c r="BM106" s="1">
        <v>0</v>
      </c>
      <c r="BO106" s="1">
        <v>3</v>
      </c>
      <c r="BT106" s="8">
        <f t="shared" si="77"/>
        <v>0</v>
      </c>
      <c r="BU106" s="9"/>
      <c r="BV106" s="10"/>
      <c r="BW106" s="11"/>
      <c r="BX106" s="11"/>
      <c r="BY106" s="11"/>
      <c r="BZ106" s="11"/>
      <c r="CA106" s="11"/>
      <c r="CB106" s="12"/>
      <c r="CC106" s="13"/>
      <c r="CD106" s="14"/>
      <c r="CL106" s="11"/>
      <c r="CM106" s="11"/>
      <c r="CN106" s="11"/>
      <c r="CO106" s="11"/>
      <c r="CP106" s="11"/>
      <c r="CQ106" s="49"/>
      <c r="CR106" s="46"/>
      <c r="CS106" s="48"/>
      <c r="CT106" s="48"/>
      <c r="CU106" s="48"/>
      <c r="CV106" s="48"/>
      <c r="CW106" s="49"/>
      <c r="CX106" s="49"/>
    </row>
    <row r="107" spans="1:102" hidden="1" x14ac:dyDescent="0.25">
      <c r="A107" s="1" t="s">
        <v>357</v>
      </c>
      <c r="B107" s="1" t="s">
        <v>358</v>
      </c>
      <c r="C107" s="1" t="s">
        <v>358</v>
      </c>
      <c r="D107" s="2" t="s">
        <v>63</v>
      </c>
      <c r="E107" s="2" t="s">
        <v>63</v>
      </c>
      <c r="F107" s="3" t="e">
        <f>IF(BE107="S",
IF(#REF!+BM107=2018,
IF(#REF!=1,"18-19/1",
IF(#REF!=2,"18-19/2",
IF(#REF!=3,"19-20/1",
IF(#REF!=4,"19-20/2",
IF(#REF!=5,"20-21/1",
IF(#REF!=6,"20-21/2",
IF(#REF!=7,"21-22/1",
IF(#REF!=8,"21-22/2","Hata1")))))))),
IF(#REF!+BM107=2019,
IF(#REF!=1,"19-20/1",
IF(#REF!=2,"19-20/2",
IF(#REF!=3,"20-21/1",
IF(#REF!=4,"20-21/2",
IF(#REF!=5,"21-22/1",
IF(#REF!=6,"21-22/2",
IF(#REF!=7,"22-23/1",
IF(#REF!=8,"22-23/2","Hata2")))))))),
IF(#REF!+BM107=2020,
IF(#REF!=1,"20-21/1",
IF(#REF!=2,"20-21/2",
IF(#REF!=3,"21-22/1",
IF(#REF!=4,"21-22/2",
IF(#REF!=5,"22-23/1",
IF(#REF!=6,"22-23/2",
IF(#REF!=7,"23-24/1",
IF(#REF!=8,"23-24/2","Hata3")))))))),
IF(#REF!+BM107=2021,
IF(#REF!=1,"21-22/1",
IF(#REF!=2,"21-22/2",
IF(#REF!=3,"22-23/1",
IF(#REF!=4,"22-23/2",
IF(#REF!=5,"23-24/1",
IF(#REF!=6,"23-24/2",
IF(#REF!=7,"24-25/1",
IF(#REF!=8,"24-25/2","Hata4")))))))),
IF(#REF!+BM107=2022,
IF(#REF!=1,"22-23/1",
IF(#REF!=2,"22-23/2",
IF(#REF!=3,"23-24/1",
IF(#REF!=4,"23-24/2",
IF(#REF!=5,"24-25/1",
IF(#REF!=6,"24-25/2",
IF(#REF!=7,"25-26/1",
IF(#REF!=8,"25-26/2","Hata5")))))))),
IF(#REF!+BM107=2023,
IF(#REF!=1,"23-24/1",
IF(#REF!=2,"23-24/2",
IF(#REF!=3,"24-25/1",
IF(#REF!=4,"24-25/2",
IF(#REF!=5,"25-26/1",
IF(#REF!=6,"25-26/2",
IF(#REF!=7,"26-27/1",
IF(#REF!=8,"26-27/2","Hata6")))))))),
)))))),
IF(BE107="T",
IF(#REF!+BM107=2018,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7" s="1" t="s">
        <v>68</v>
      </c>
      <c r="L107" s="2">
        <v>4366</v>
      </c>
      <c r="N107" s="2">
        <v>1</v>
      </c>
      <c r="O107" s="6">
        <f t="shared" si="42"/>
        <v>1</v>
      </c>
      <c r="P107" s="2">
        <f t="shared" si="43"/>
        <v>1</v>
      </c>
      <c r="Q107" s="2">
        <v>1</v>
      </c>
      <c r="R107" s="2">
        <v>0</v>
      </c>
      <c r="S107" s="2">
        <v>0</v>
      </c>
      <c r="X107" s="3">
        <v>0</v>
      </c>
      <c r="Y107" s="1">
        <f>VLOOKUP(X107,[4]ölçme_sistemleri!I:L,2,FALSE)</f>
        <v>0</v>
      </c>
      <c r="Z107" s="1">
        <f>VLOOKUP(X107,[4]ölçme_sistemleri!I:L,3,FALSE)</f>
        <v>0</v>
      </c>
      <c r="AA107" s="1">
        <f>VLOOKUP(X107,[4]ölçme_sistemleri!I:L,4,FALSE)</f>
        <v>0</v>
      </c>
      <c r="AB107" s="1">
        <f>$O107*[4]ölçme_sistemleri!J$13</f>
        <v>1</v>
      </c>
      <c r="AC107" s="1">
        <f>$O107*[4]ölçme_sistemleri!K$13</f>
        <v>2</v>
      </c>
      <c r="AD107" s="1">
        <f>$O107*[4]ölçme_sistemleri!L$13</f>
        <v>3</v>
      </c>
      <c r="AE107" s="1">
        <f t="shared" si="44"/>
        <v>0</v>
      </c>
      <c r="AF107" s="1">
        <f t="shared" si="45"/>
        <v>0</v>
      </c>
      <c r="AG107" s="1">
        <f t="shared" si="46"/>
        <v>0</v>
      </c>
      <c r="AH107" s="1">
        <f t="shared" si="47"/>
        <v>0</v>
      </c>
      <c r="AI107" s="1">
        <v>14</v>
      </c>
      <c r="AJ107" s="1">
        <f>VLOOKUP(X107,[4]ölçme_sistemleri!I:M,5,FALSE)</f>
        <v>0</v>
      </c>
      <c r="AK107" s="1">
        <f t="shared" si="48"/>
        <v>0</v>
      </c>
      <c r="AL107" s="1">
        <f t="shared" si="78"/>
        <v>14</v>
      </c>
      <c r="AM107" s="1">
        <f>VLOOKUP(X107,[4]ölçme_sistemleri!I:N,6,FALSE)</f>
        <v>0</v>
      </c>
      <c r="AN107" s="1">
        <v>2</v>
      </c>
      <c r="AO107" s="1">
        <f t="shared" si="49"/>
        <v>0</v>
      </c>
      <c r="AP107" s="1">
        <v>14</v>
      </c>
      <c r="AQ107" s="1">
        <f t="shared" si="59"/>
        <v>14</v>
      </c>
      <c r="AR107" s="1">
        <f t="shared" si="50"/>
        <v>28</v>
      </c>
      <c r="AS107" s="1">
        <f>IF(BE107="s",25,25)</f>
        <v>25</v>
      </c>
      <c r="AT107" s="1">
        <f t="shared" si="51"/>
        <v>1</v>
      </c>
      <c r="AU107" s="1">
        <f t="shared" si="60"/>
        <v>0</v>
      </c>
      <c r="AV107" s="1">
        <f t="shared" si="73"/>
        <v>0</v>
      </c>
      <c r="AW107" s="1">
        <f t="shared" si="74"/>
        <v>0</v>
      </c>
      <c r="AX107" s="1">
        <f t="shared" si="75"/>
        <v>0</v>
      </c>
      <c r="AY107" s="1">
        <f t="shared" si="52"/>
        <v>-3</v>
      </c>
      <c r="AZ107" s="1">
        <f t="shared" si="76"/>
        <v>0</v>
      </c>
      <c r="BA107" s="1">
        <f t="shared" si="53"/>
        <v>-14</v>
      </c>
      <c r="BB107" s="1">
        <f t="shared" si="72"/>
        <v>0</v>
      </c>
      <c r="BC107" s="1">
        <f t="shared" si="55"/>
        <v>0</v>
      </c>
      <c r="BD107" s="1">
        <f t="shared" si="56"/>
        <v>0</v>
      </c>
      <c r="BE107" s="1" t="s">
        <v>65</v>
      </c>
      <c r="BF107" s="1">
        <f t="shared" si="70"/>
        <v>14</v>
      </c>
      <c r="BG107" s="1">
        <f t="shared" si="71"/>
        <v>14</v>
      </c>
      <c r="BH107" s="1">
        <f t="shared" si="58"/>
        <v>0</v>
      </c>
      <c r="BI107" s="1" t="e">
        <f>IF(BH107-#REF!=0,"DOĞRU","YANLIŞ")</f>
        <v>#REF!</v>
      </c>
      <c r="BJ107" s="1" t="e">
        <f>#REF!-BH107</f>
        <v>#REF!</v>
      </c>
      <c r="BK107" s="1">
        <v>0</v>
      </c>
      <c r="BM107" s="1">
        <v>0</v>
      </c>
      <c r="BO107" s="1">
        <v>0</v>
      </c>
      <c r="BT107" s="8">
        <f t="shared" si="77"/>
        <v>0</v>
      </c>
      <c r="BU107" s="9"/>
      <c r="BV107" s="10"/>
      <c r="BW107" s="11"/>
      <c r="BX107" s="11"/>
      <c r="BY107" s="11"/>
      <c r="BZ107" s="11"/>
      <c r="CA107" s="11"/>
      <c r="CB107" s="12"/>
      <c r="CC107" s="13"/>
      <c r="CD107" s="14"/>
      <c r="CL107" s="11"/>
      <c r="CM107" s="11"/>
      <c r="CN107" s="11"/>
      <c r="CO107" s="50"/>
      <c r="CP107" s="11"/>
      <c r="CQ107" s="49"/>
      <c r="CR107" s="61"/>
      <c r="CS107" s="49"/>
      <c r="CT107" s="48"/>
      <c r="CU107" s="49"/>
      <c r="CV107" s="48"/>
      <c r="CW107" s="49"/>
      <c r="CX107" s="49"/>
    </row>
    <row r="108" spans="1:102" hidden="1" x14ac:dyDescent="0.25">
      <c r="A108" s="1" t="s">
        <v>357</v>
      </c>
      <c r="B108" s="1" t="s">
        <v>358</v>
      </c>
      <c r="C108" s="1" t="s">
        <v>358</v>
      </c>
      <c r="D108" s="2" t="s">
        <v>63</v>
      </c>
      <c r="E108" s="2" t="s">
        <v>63</v>
      </c>
      <c r="F108" s="3" t="e">
        <f>IF(BE108="S",
IF(#REF!+BM108=2018,
IF(#REF!=1,"18-19/1",
IF(#REF!=2,"18-19/2",
IF(#REF!=3,"19-20/1",
IF(#REF!=4,"19-20/2",
IF(#REF!=5,"20-21/1",
IF(#REF!=6,"20-21/2",
IF(#REF!=7,"21-22/1",
IF(#REF!=8,"21-22/2","Hata1")))))))),
IF(#REF!+BM108=2019,
IF(#REF!=1,"19-20/1",
IF(#REF!=2,"19-20/2",
IF(#REF!=3,"20-21/1",
IF(#REF!=4,"20-21/2",
IF(#REF!=5,"21-22/1",
IF(#REF!=6,"21-22/2",
IF(#REF!=7,"22-23/1",
IF(#REF!=8,"22-23/2","Hata2")))))))),
IF(#REF!+BM108=2020,
IF(#REF!=1,"20-21/1",
IF(#REF!=2,"20-21/2",
IF(#REF!=3,"21-22/1",
IF(#REF!=4,"21-22/2",
IF(#REF!=5,"22-23/1",
IF(#REF!=6,"22-23/2",
IF(#REF!=7,"23-24/1",
IF(#REF!=8,"23-24/2","Hata3")))))))),
IF(#REF!+BM108=2021,
IF(#REF!=1,"21-22/1",
IF(#REF!=2,"21-22/2",
IF(#REF!=3,"22-23/1",
IF(#REF!=4,"22-23/2",
IF(#REF!=5,"23-24/1",
IF(#REF!=6,"23-24/2",
IF(#REF!=7,"24-25/1",
IF(#REF!=8,"24-25/2","Hata4")))))))),
IF(#REF!+BM108=2022,
IF(#REF!=1,"22-23/1",
IF(#REF!=2,"22-23/2",
IF(#REF!=3,"23-24/1",
IF(#REF!=4,"23-24/2",
IF(#REF!=5,"24-25/1",
IF(#REF!=6,"24-25/2",
IF(#REF!=7,"25-26/1",
IF(#REF!=8,"25-26/2","Hata5")))))))),
IF(#REF!+BM108=2023,
IF(#REF!=1,"23-24/1",
IF(#REF!=2,"23-24/2",
IF(#REF!=3,"24-25/1",
IF(#REF!=4,"24-25/2",
IF(#REF!=5,"25-26/1",
IF(#REF!=6,"25-26/2",
IF(#REF!=7,"26-27/1",
IF(#REF!=8,"26-27/2","Hata6")))))))),
)))))),
IF(BE108="T",
IF(#REF!+BM108=2018,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8" s="1" t="s">
        <v>68</v>
      </c>
      <c r="J108" s="1">
        <v>4234788</v>
      </c>
      <c r="L108" s="2">
        <v>4366</v>
      </c>
      <c r="N108" s="2">
        <v>1</v>
      </c>
      <c r="O108" s="6">
        <f t="shared" si="42"/>
        <v>1</v>
      </c>
      <c r="P108" s="2">
        <f t="shared" si="43"/>
        <v>1</v>
      </c>
      <c r="Q108" s="2">
        <v>1</v>
      </c>
      <c r="R108" s="2">
        <v>0</v>
      </c>
      <c r="S108" s="2">
        <v>0</v>
      </c>
      <c r="X108" s="3">
        <v>0</v>
      </c>
      <c r="Y108" s="1">
        <f>VLOOKUP(X108,[4]ölçme_sistemleri!I:L,2,FALSE)</f>
        <v>0</v>
      </c>
      <c r="Z108" s="1">
        <f>VLOOKUP(X108,[4]ölçme_sistemleri!I:L,3,FALSE)</f>
        <v>0</v>
      </c>
      <c r="AA108" s="1">
        <f>VLOOKUP(X108,[4]ölçme_sistemleri!I:L,4,FALSE)</f>
        <v>0</v>
      </c>
      <c r="AB108" s="1">
        <f>$O108*[4]ölçme_sistemleri!J$13</f>
        <v>1</v>
      </c>
      <c r="AC108" s="1">
        <f>$O108*[4]ölçme_sistemleri!K$13</f>
        <v>2</v>
      </c>
      <c r="AD108" s="1">
        <f>$O108*[4]ölçme_sistemleri!L$13</f>
        <v>3</v>
      </c>
      <c r="AE108" s="1">
        <f t="shared" si="44"/>
        <v>0</v>
      </c>
      <c r="AF108" s="1">
        <f t="shared" si="45"/>
        <v>0</v>
      </c>
      <c r="AG108" s="1">
        <f t="shared" si="46"/>
        <v>0</v>
      </c>
      <c r="AH108" s="1">
        <f t="shared" si="47"/>
        <v>0</v>
      </c>
      <c r="AI108" s="1">
        <v>14</v>
      </c>
      <c r="AJ108" s="1">
        <f>VLOOKUP(X108,[4]ölçme_sistemleri!I:M,5,FALSE)</f>
        <v>0</v>
      </c>
      <c r="AK108" s="1">
        <f t="shared" si="48"/>
        <v>0</v>
      </c>
      <c r="AL108" s="1">
        <f t="shared" si="78"/>
        <v>14</v>
      </c>
      <c r="AM108" s="1">
        <f>VLOOKUP(X108,[4]ölçme_sistemleri!I:N,6,FALSE)</f>
        <v>0</v>
      </c>
      <c r="AN108" s="1">
        <v>2</v>
      </c>
      <c r="AO108" s="1">
        <f t="shared" si="49"/>
        <v>0</v>
      </c>
      <c r="AP108" s="1">
        <v>14</v>
      </c>
      <c r="AQ108" s="1">
        <f t="shared" si="59"/>
        <v>14</v>
      </c>
      <c r="AR108" s="1">
        <f t="shared" si="50"/>
        <v>28</v>
      </c>
      <c r="AS108" s="1">
        <f>IF(BE108="s",25,25)</f>
        <v>25</v>
      </c>
      <c r="AT108" s="1">
        <f t="shared" si="51"/>
        <v>1</v>
      </c>
      <c r="AU108" s="1">
        <f t="shared" si="60"/>
        <v>0</v>
      </c>
      <c r="AV108" s="1">
        <f t="shared" si="73"/>
        <v>0</v>
      </c>
      <c r="AW108" s="1">
        <f t="shared" si="74"/>
        <v>0</v>
      </c>
      <c r="AX108" s="1">
        <f t="shared" si="75"/>
        <v>0</v>
      </c>
      <c r="AY108" s="1">
        <f t="shared" si="52"/>
        <v>-3</v>
      </c>
      <c r="AZ108" s="1">
        <f t="shared" si="76"/>
        <v>0</v>
      </c>
      <c r="BA108" s="1">
        <f t="shared" si="53"/>
        <v>-14</v>
      </c>
      <c r="BB108" s="1">
        <f t="shared" si="72"/>
        <v>0</v>
      </c>
      <c r="BC108" s="1">
        <f t="shared" si="55"/>
        <v>0</v>
      </c>
      <c r="BD108" s="1">
        <f t="shared" si="56"/>
        <v>0</v>
      </c>
      <c r="BE108" s="1" t="s">
        <v>65</v>
      </c>
      <c r="BF108" s="1">
        <f t="shared" si="70"/>
        <v>14</v>
      </c>
      <c r="BG108" s="1">
        <f t="shared" si="71"/>
        <v>14</v>
      </c>
      <c r="BH108" s="1">
        <f t="shared" si="58"/>
        <v>0</v>
      </c>
      <c r="BI108" s="1" t="e">
        <f>IF(BH108-#REF!=0,"DOĞRU","YANLIŞ")</f>
        <v>#REF!</v>
      </c>
      <c r="BJ108" s="1" t="e">
        <f>#REF!-BH108</f>
        <v>#REF!</v>
      </c>
      <c r="BK108" s="1">
        <v>0</v>
      </c>
      <c r="BM108" s="1">
        <v>0</v>
      </c>
      <c r="BO108" s="1">
        <v>0</v>
      </c>
      <c r="BT108" s="8">
        <f t="shared" si="77"/>
        <v>0</v>
      </c>
      <c r="BU108" s="9"/>
      <c r="BV108" s="10"/>
      <c r="BW108" s="11"/>
      <c r="BX108" s="11"/>
      <c r="BY108" s="11"/>
      <c r="BZ108" s="11"/>
      <c r="CA108" s="11"/>
      <c r="CB108" s="12"/>
      <c r="CC108" s="13"/>
      <c r="CD108" s="14"/>
      <c r="CL108" s="11"/>
      <c r="CM108" s="11"/>
      <c r="CN108" s="11"/>
      <c r="CO108" s="11"/>
      <c r="CP108" s="11"/>
      <c r="CQ108" s="49"/>
      <c r="CR108" s="46"/>
      <c r="CS108" s="48"/>
      <c r="CT108" s="48"/>
      <c r="CU108" s="48"/>
      <c r="CV108" s="48"/>
      <c r="CW108" s="49"/>
      <c r="CX108" s="49"/>
    </row>
    <row r="109" spans="1:102" hidden="1" x14ac:dyDescent="0.25">
      <c r="A109" s="1" t="s">
        <v>357</v>
      </c>
      <c r="B109" s="1" t="s">
        <v>358</v>
      </c>
      <c r="C109" s="1" t="s">
        <v>358</v>
      </c>
      <c r="D109" s="2" t="s">
        <v>63</v>
      </c>
      <c r="E109" s="2" t="s">
        <v>63</v>
      </c>
      <c r="F109" s="3" t="e">
        <f>IF(BE109="S",
IF(#REF!+BM109=2018,
IF(#REF!=1,"18-19/1",
IF(#REF!=2,"18-19/2",
IF(#REF!=3,"19-20/1",
IF(#REF!=4,"19-20/2",
IF(#REF!=5,"20-21/1",
IF(#REF!=6,"20-21/2",
IF(#REF!=7,"21-22/1",
IF(#REF!=8,"21-22/2","Hata1")))))))),
IF(#REF!+BM109=2019,
IF(#REF!=1,"19-20/1",
IF(#REF!=2,"19-20/2",
IF(#REF!=3,"20-21/1",
IF(#REF!=4,"20-21/2",
IF(#REF!=5,"21-22/1",
IF(#REF!=6,"21-22/2",
IF(#REF!=7,"22-23/1",
IF(#REF!=8,"22-23/2","Hata2")))))))),
IF(#REF!+BM109=2020,
IF(#REF!=1,"20-21/1",
IF(#REF!=2,"20-21/2",
IF(#REF!=3,"21-22/1",
IF(#REF!=4,"21-22/2",
IF(#REF!=5,"22-23/1",
IF(#REF!=6,"22-23/2",
IF(#REF!=7,"23-24/1",
IF(#REF!=8,"23-24/2","Hata3")))))))),
IF(#REF!+BM109=2021,
IF(#REF!=1,"21-22/1",
IF(#REF!=2,"21-22/2",
IF(#REF!=3,"22-23/1",
IF(#REF!=4,"22-23/2",
IF(#REF!=5,"23-24/1",
IF(#REF!=6,"23-24/2",
IF(#REF!=7,"24-25/1",
IF(#REF!=8,"24-25/2","Hata4")))))))),
IF(#REF!+BM109=2022,
IF(#REF!=1,"22-23/1",
IF(#REF!=2,"22-23/2",
IF(#REF!=3,"23-24/1",
IF(#REF!=4,"23-24/2",
IF(#REF!=5,"24-25/1",
IF(#REF!=6,"24-25/2",
IF(#REF!=7,"25-26/1",
IF(#REF!=8,"25-26/2","Hata5")))))))),
IF(#REF!+BM109=2023,
IF(#REF!=1,"23-24/1",
IF(#REF!=2,"23-24/2",
IF(#REF!=3,"24-25/1",
IF(#REF!=4,"24-25/2",
IF(#REF!=5,"25-26/1",
IF(#REF!=6,"25-26/2",
IF(#REF!=7,"26-27/1",
IF(#REF!=8,"26-27/2","Hata6")))))))),
)))))),
IF(BE109="T",
IF(#REF!+BM109=2018,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IF(#REF!+BM109=2019,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IF(#REF!+BM109=2020,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IF(#REF!+BM109=2021,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IF(#REF!+BM109=2022,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IF(#REF!+BM109=2023,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09" s="1" t="s">
        <v>68</v>
      </c>
      <c r="L109" s="2">
        <v>4366</v>
      </c>
      <c r="N109" s="2">
        <v>1</v>
      </c>
      <c r="O109" s="6">
        <f t="shared" si="42"/>
        <v>1</v>
      </c>
      <c r="P109" s="2">
        <f t="shared" si="43"/>
        <v>1</v>
      </c>
      <c r="Q109" s="2">
        <v>1</v>
      </c>
      <c r="R109" s="2">
        <v>0</v>
      </c>
      <c r="S109" s="2">
        <v>0</v>
      </c>
      <c r="X109" s="3">
        <v>0</v>
      </c>
      <c r="Y109" s="1">
        <f>VLOOKUP(X109,[4]ölçme_sistemleri!I:L,2,FALSE)</f>
        <v>0</v>
      </c>
      <c r="Z109" s="1">
        <f>VLOOKUP(X109,[4]ölçme_sistemleri!I:L,3,FALSE)</f>
        <v>0</v>
      </c>
      <c r="AA109" s="1">
        <f>VLOOKUP(X109,[4]ölçme_sistemleri!I:L,4,FALSE)</f>
        <v>0</v>
      </c>
      <c r="AB109" s="1">
        <f>$O109*[4]ölçme_sistemleri!J$13</f>
        <v>1</v>
      </c>
      <c r="AC109" s="1">
        <f>$O109*[4]ölçme_sistemleri!K$13</f>
        <v>2</v>
      </c>
      <c r="AD109" s="1">
        <f>$O109*[4]ölçme_sistemleri!L$13</f>
        <v>3</v>
      </c>
      <c r="AE109" s="1">
        <f t="shared" si="44"/>
        <v>0</v>
      </c>
      <c r="AF109" s="1">
        <f t="shared" si="45"/>
        <v>0</v>
      </c>
      <c r="AG109" s="1">
        <f t="shared" si="46"/>
        <v>0</v>
      </c>
      <c r="AH109" s="1">
        <f t="shared" si="47"/>
        <v>0</v>
      </c>
      <c r="AI109" s="1">
        <v>14</v>
      </c>
      <c r="AJ109" s="1">
        <f>VLOOKUP(X109,[4]ölçme_sistemleri!I:M,5,FALSE)</f>
        <v>0</v>
      </c>
      <c r="AK109" s="1">
        <f t="shared" si="48"/>
        <v>0</v>
      </c>
      <c r="AL109" s="1">
        <f t="shared" si="78"/>
        <v>14</v>
      </c>
      <c r="AM109" s="1">
        <f>VLOOKUP(X109,[4]ölçme_sistemleri!I:N,6,FALSE)</f>
        <v>0</v>
      </c>
      <c r="AN109" s="1">
        <v>2</v>
      </c>
      <c r="AO109" s="1">
        <f t="shared" si="49"/>
        <v>0</v>
      </c>
      <c r="AP109" s="1">
        <v>14</v>
      </c>
      <c r="AQ109" s="1">
        <f t="shared" si="59"/>
        <v>14</v>
      </c>
      <c r="AR109" s="1">
        <f t="shared" si="50"/>
        <v>28</v>
      </c>
      <c r="AS109" s="1">
        <f>IF(BE109="s",25,25)</f>
        <v>25</v>
      </c>
      <c r="AT109" s="1">
        <f t="shared" si="51"/>
        <v>1</v>
      </c>
      <c r="AU109" s="1">
        <f t="shared" si="60"/>
        <v>0</v>
      </c>
      <c r="AV109" s="1">
        <f t="shared" si="73"/>
        <v>0</v>
      </c>
      <c r="AW109" s="1">
        <f t="shared" si="74"/>
        <v>0</v>
      </c>
      <c r="AX109" s="1">
        <f t="shared" si="75"/>
        <v>0</v>
      </c>
      <c r="AY109" s="1">
        <f t="shared" si="52"/>
        <v>-3</v>
      </c>
      <c r="AZ109" s="1">
        <f t="shared" si="76"/>
        <v>0</v>
      </c>
      <c r="BA109" s="1">
        <f t="shared" si="53"/>
        <v>-14</v>
      </c>
      <c r="BB109" s="1">
        <f t="shared" si="72"/>
        <v>0</v>
      </c>
      <c r="BC109" s="1">
        <f t="shared" si="55"/>
        <v>0</v>
      </c>
      <c r="BD109" s="1">
        <f t="shared" si="56"/>
        <v>0</v>
      </c>
      <c r="BE109" s="1" t="s">
        <v>65</v>
      </c>
      <c r="BF109" s="1">
        <f t="shared" si="70"/>
        <v>14</v>
      </c>
      <c r="BG109" s="1">
        <f t="shared" si="71"/>
        <v>14</v>
      </c>
      <c r="BH109" s="1">
        <f t="shared" si="58"/>
        <v>0</v>
      </c>
      <c r="BI109" s="1" t="e">
        <f>IF(BH109-#REF!=0,"DOĞRU","YANLIŞ")</f>
        <v>#REF!</v>
      </c>
      <c r="BJ109" s="1" t="e">
        <f>#REF!-BH109</f>
        <v>#REF!</v>
      </c>
      <c r="BK109" s="1">
        <v>0</v>
      </c>
      <c r="BM109" s="1">
        <v>0</v>
      </c>
      <c r="BO109" s="1">
        <v>0</v>
      </c>
      <c r="BT109" s="8">
        <f t="shared" si="77"/>
        <v>0</v>
      </c>
      <c r="BU109" s="9"/>
      <c r="BV109" s="10"/>
      <c r="BW109" s="11"/>
      <c r="BX109" s="11"/>
      <c r="BY109" s="11"/>
      <c r="BZ109" s="11"/>
      <c r="CA109" s="11"/>
      <c r="CB109" s="12"/>
      <c r="CC109" s="13"/>
      <c r="CD109" s="14"/>
      <c r="CL109" s="11"/>
      <c r="CM109" s="11"/>
      <c r="CN109" s="11"/>
      <c r="CO109" s="11"/>
      <c r="CP109" s="11"/>
      <c r="CQ109" s="46"/>
      <c r="CR109" s="46"/>
      <c r="CS109" s="48"/>
      <c r="CT109" s="48"/>
      <c r="CU109" s="48"/>
      <c r="CV109" s="48"/>
      <c r="CW109" s="49"/>
      <c r="CX109" s="49"/>
    </row>
    <row r="110" spans="1:102" hidden="1" x14ac:dyDescent="0.25">
      <c r="A110" s="1" t="s">
        <v>93</v>
      </c>
      <c r="B110" s="1" t="s">
        <v>94</v>
      </c>
      <c r="C110" s="1" t="s">
        <v>94</v>
      </c>
      <c r="D110" s="2" t="s">
        <v>63</v>
      </c>
      <c r="E110" s="2" t="s">
        <v>63</v>
      </c>
      <c r="F110" s="3" t="e">
        <f>IF(BE110="S",
IF(#REF!+BM110=2018,
IF(#REF!=1,"18-19/1",
IF(#REF!=2,"18-19/2",
IF(#REF!=3,"19-20/1",
IF(#REF!=4,"19-20/2",
IF(#REF!=5,"20-21/1",
IF(#REF!=6,"20-21/2",
IF(#REF!=7,"21-22/1",
IF(#REF!=8,"21-22/2","Hata1")))))))),
IF(#REF!+BM110=2019,
IF(#REF!=1,"19-20/1",
IF(#REF!=2,"19-20/2",
IF(#REF!=3,"20-21/1",
IF(#REF!=4,"20-21/2",
IF(#REF!=5,"21-22/1",
IF(#REF!=6,"21-22/2",
IF(#REF!=7,"22-23/1",
IF(#REF!=8,"22-23/2","Hata2")))))))),
IF(#REF!+BM110=2020,
IF(#REF!=1,"20-21/1",
IF(#REF!=2,"20-21/2",
IF(#REF!=3,"21-22/1",
IF(#REF!=4,"21-22/2",
IF(#REF!=5,"22-23/1",
IF(#REF!=6,"22-23/2",
IF(#REF!=7,"23-24/1",
IF(#REF!=8,"23-24/2","Hata3")))))))),
IF(#REF!+BM110=2021,
IF(#REF!=1,"21-22/1",
IF(#REF!=2,"21-22/2",
IF(#REF!=3,"22-23/1",
IF(#REF!=4,"22-23/2",
IF(#REF!=5,"23-24/1",
IF(#REF!=6,"23-24/2",
IF(#REF!=7,"24-25/1",
IF(#REF!=8,"24-25/2","Hata4")))))))),
IF(#REF!+BM110=2022,
IF(#REF!=1,"22-23/1",
IF(#REF!=2,"22-23/2",
IF(#REF!=3,"23-24/1",
IF(#REF!=4,"23-24/2",
IF(#REF!=5,"24-25/1",
IF(#REF!=6,"24-25/2",
IF(#REF!=7,"25-26/1",
IF(#REF!=8,"25-26/2","Hata5")))))))),
IF(#REF!+BM110=2023,
IF(#REF!=1,"23-24/1",
IF(#REF!=2,"23-24/2",
IF(#REF!=3,"24-25/1",
IF(#REF!=4,"24-25/2",
IF(#REF!=5,"25-26/1",
IF(#REF!=6,"25-26/2",
IF(#REF!=7,"26-27/1",
IF(#REF!=8,"26-27/2","Hata6")))))))),
)))))),
IF(BE110="T",
IF(#REF!+BM110=2018,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0" s="1" t="s">
        <v>68</v>
      </c>
      <c r="J110" s="1">
        <v>4234788</v>
      </c>
      <c r="L110" s="2">
        <v>635</v>
      </c>
      <c r="N110" s="2">
        <v>5</v>
      </c>
      <c r="O110" s="6">
        <f t="shared" si="42"/>
        <v>3</v>
      </c>
      <c r="P110" s="2">
        <f t="shared" si="43"/>
        <v>5</v>
      </c>
      <c r="Q110" s="2">
        <v>1</v>
      </c>
      <c r="R110" s="2">
        <v>4</v>
      </c>
      <c r="S110" s="2">
        <v>0</v>
      </c>
      <c r="X110" s="3">
        <v>3</v>
      </c>
      <c r="Y110" s="1">
        <f>VLOOKUP($X110,[5]ölçme_sistemleri!I$1:L$65536,2,FALSE)</f>
        <v>2</v>
      </c>
      <c r="Z110" s="1">
        <f>VLOOKUP($X110,[5]ölçme_sistemleri!I$1:L$65536,3,FALSE)</f>
        <v>1</v>
      </c>
      <c r="AA110" s="1">
        <f>VLOOKUP($X110,[5]ölçme_sistemleri!I$1:L$65536,4,FALSE)</f>
        <v>1</v>
      </c>
      <c r="AB110" s="1">
        <f>$O110*[5]ölçme_sistemleri!J$13</f>
        <v>3</v>
      </c>
      <c r="AC110" s="1">
        <f>$O110*[5]ölçme_sistemleri!K$13</f>
        <v>6</v>
      </c>
      <c r="AD110" s="1">
        <f>$O110*[5]ölçme_sistemleri!L$13</f>
        <v>9</v>
      </c>
      <c r="AE110" s="1">
        <f t="shared" si="44"/>
        <v>6</v>
      </c>
      <c r="AF110" s="1">
        <f t="shared" si="45"/>
        <v>6</v>
      </c>
      <c r="AG110" s="1">
        <f t="shared" si="46"/>
        <v>9</v>
      </c>
      <c r="AH110" s="1">
        <f t="shared" si="47"/>
        <v>21</v>
      </c>
      <c r="AI110" s="1">
        <v>14</v>
      </c>
      <c r="AJ110" s="1">
        <f>VLOOKUP(X110,[5]ölçme_sistemleri!I$1:M$65536,5,FALSE)</f>
        <v>3</v>
      </c>
      <c r="AK110" s="1">
        <f t="shared" si="48"/>
        <v>294</v>
      </c>
      <c r="AL110" s="1">
        <f>AI110*1</f>
        <v>14</v>
      </c>
      <c r="AM110" s="1">
        <f>VLOOKUP(X110,[5]ölçme_sistemleri!I$1:N$65536,6,FALSE)</f>
        <v>4</v>
      </c>
      <c r="AN110" s="1">
        <v>2</v>
      </c>
      <c r="AO110" s="1">
        <f t="shared" si="49"/>
        <v>8</v>
      </c>
      <c r="AP110" s="1">
        <v>14</v>
      </c>
      <c r="AQ110" s="1">
        <f t="shared" si="59"/>
        <v>70</v>
      </c>
      <c r="AR110" s="1">
        <f t="shared" si="50"/>
        <v>113</v>
      </c>
      <c r="AS110" s="1">
        <f>IF(BE110="s",25,30)</f>
        <v>25</v>
      </c>
      <c r="AT110" s="1">
        <f t="shared" si="51"/>
        <v>5</v>
      </c>
      <c r="AU110" s="1">
        <f t="shared" si="60"/>
        <v>0</v>
      </c>
      <c r="AV110" s="1">
        <f t="shared" si="73"/>
        <v>0</v>
      </c>
      <c r="AW110" s="1">
        <f t="shared" si="74"/>
        <v>0</v>
      </c>
      <c r="AX110" s="1">
        <f t="shared" si="75"/>
        <v>0</v>
      </c>
      <c r="AY110" s="1">
        <f t="shared" si="52"/>
        <v>-21</v>
      </c>
      <c r="AZ110" s="1">
        <f t="shared" si="76"/>
        <v>0</v>
      </c>
      <c r="BA110" s="1">
        <f t="shared" si="53"/>
        <v>-14</v>
      </c>
      <c r="BB110" s="1">
        <f t="shared" si="72"/>
        <v>0</v>
      </c>
      <c r="BC110" s="1">
        <f t="shared" si="55"/>
        <v>-8</v>
      </c>
      <c r="BD110" s="1">
        <f t="shared" si="56"/>
        <v>0</v>
      </c>
      <c r="BE110" s="1" t="s">
        <v>65</v>
      </c>
      <c r="BF110" s="1">
        <f t="shared" si="70"/>
        <v>42</v>
      </c>
      <c r="BG110" s="1">
        <f t="shared" si="71"/>
        <v>42</v>
      </c>
      <c r="BH110" s="1">
        <f t="shared" si="58"/>
        <v>1</v>
      </c>
      <c r="BI110" s="1" t="e">
        <f>IF(BH110-#REF!=0,"DOĞRU","YANLIŞ")</f>
        <v>#REF!</v>
      </c>
      <c r="BJ110" s="1" t="e">
        <f>#REF!-BH110</f>
        <v>#REF!</v>
      </c>
      <c r="BK110" s="1">
        <v>1</v>
      </c>
      <c r="BM110" s="1">
        <v>0</v>
      </c>
      <c r="BO110" s="1">
        <v>3</v>
      </c>
      <c r="BT110" s="8">
        <f t="shared" si="77"/>
        <v>56</v>
      </c>
      <c r="BU110" s="9"/>
      <c r="BV110" s="10"/>
      <c r="BW110" s="11"/>
      <c r="BX110" s="11"/>
      <c r="BY110" s="11"/>
      <c r="BZ110" s="11"/>
      <c r="CA110" s="11"/>
      <c r="CB110" s="12"/>
      <c r="CC110" s="13"/>
      <c r="CD110" s="14"/>
      <c r="CL110" s="11"/>
      <c r="CM110" s="11"/>
      <c r="CN110" s="11"/>
      <c r="CO110" s="11"/>
      <c r="CP110" s="11"/>
      <c r="CQ110" s="54"/>
      <c r="CR110" s="46"/>
      <c r="CS110" s="48"/>
      <c r="CT110" s="48"/>
      <c r="CU110" s="48"/>
      <c r="CV110" s="48"/>
      <c r="CW110" s="49"/>
      <c r="CX110" s="49"/>
    </row>
    <row r="111" spans="1:102" hidden="1" x14ac:dyDescent="0.25">
      <c r="A111" s="88" t="s">
        <v>81</v>
      </c>
      <c r="B111" s="88" t="s">
        <v>82</v>
      </c>
      <c r="C111" s="1" t="s">
        <v>82</v>
      </c>
      <c r="D111" s="2" t="s">
        <v>58</v>
      </c>
      <c r="E111" s="2" t="s">
        <v>58</v>
      </c>
      <c r="F111" s="3" t="e">
        <f>IF(BE111="S",
IF(#REF!+BM111=2018,
IF(#REF!=1,"18-19/1",
IF(#REF!=2,"18-19/2",
IF(#REF!=3,"19-20/1",
IF(#REF!=4,"19-20/2",
IF(#REF!=5,"20-21/1",
IF(#REF!=6,"20-21/2",
IF(#REF!=7,"21-22/1",
IF(#REF!=8,"21-22/2","Hata1")))))))),
IF(#REF!+BM111=2019,
IF(#REF!=1,"19-20/1",
IF(#REF!=2,"19-20/2",
IF(#REF!=3,"20-21/1",
IF(#REF!=4,"20-21/2",
IF(#REF!=5,"21-22/1",
IF(#REF!=6,"21-22/2",
IF(#REF!=7,"22-23/1",
IF(#REF!=8,"22-23/2","Hata2")))))))),
IF(#REF!+BM111=2020,
IF(#REF!=1,"20-21/1",
IF(#REF!=2,"20-21/2",
IF(#REF!=3,"21-22/1",
IF(#REF!=4,"21-22/2",
IF(#REF!=5,"22-23/1",
IF(#REF!=6,"22-23/2",
IF(#REF!=7,"23-24/1",
IF(#REF!=8,"23-24/2","Hata3")))))))),
IF(#REF!+BM111=2021,
IF(#REF!=1,"21-22/1",
IF(#REF!=2,"21-22/2",
IF(#REF!=3,"22-23/1",
IF(#REF!=4,"22-23/2",
IF(#REF!=5,"23-24/1",
IF(#REF!=6,"23-24/2",
IF(#REF!=7,"24-25/1",
IF(#REF!=8,"24-25/2","Hata4")))))))),
IF(#REF!+BM111=2022,
IF(#REF!=1,"22-23/1",
IF(#REF!=2,"22-23/2",
IF(#REF!=3,"23-24/1",
IF(#REF!=4,"23-24/2",
IF(#REF!=5,"24-25/1",
IF(#REF!=6,"24-25/2",
IF(#REF!=7,"25-26/1",
IF(#REF!=8,"25-26/2","Hata5")))))))),
IF(#REF!+BM111=2023,
IF(#REF!=1,"23-24/1",
IF(#REF!=2,"23-24/2",
IF(#REF!=3,"24-25/1",
IF(#REF!=4,"24-25/2",
IF(#REF!=5,"25-26/1",
IF(#REF!=6,"25-26/2",
IF(#REF!=7,"26-27/1",
IF(#REF!=8,"26-27/2","Hata6")))))))),
)))))),
IF(BE111="T",
IF(#REF!+BM111=2018,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111" s="3">
        <v>0</v>
      </c>
      <c r="I111" s="88" t="s">
        <v>68</v>
      </c>
      <c r="J111" s="1">
        <v>4234788</v>
      </c>
      <c r="L111" s="2">
        <v>3416</v>
      </c>
      <c r="N111" s="87">
        <v>4</v>
      </c>
      <c r="O111" s="89">
        <f t="shared" si="42"/>
        <v>2</v>
      </c>
      <c r="P111" s="2">
        <f t="shared" si="43"/>
        <v>2</v>
      </c>
      <c r="Q111" s="2">
        <v>0</v>
      </c>
      <c r="R111" s="2">
        <v>0</v>
      </c>
      <c r="S111" s="2">
        <v>2</v>
      </c>
      <c r="X111" s="90">
        <v>4</v>
      </c>
      <c r="Y111" s="1">
        <f>VLOOKUP($X111,[5]ölçme_sistemleri!I$1:L$65536,2,FALSE)</f>
        <v>0</v>
      </c>
      <c r="Z111" s="1">
        <f>VLOOKUP($X111,[5]ölçme_sistemleri!I$1:L$65536,3,FALSE)</f>
        <v>1</v>
      </c>
      <c r="AA111" s="1">
        <f>VLOOKUP($X111,[5]ölçme_sistemleri!I$1:L$65536,4,FALSE)</f>
        <v>1</v>
      </c>
      <c r="AB111" s="1">
        <f>$O111*[5]ölçme_sistemleri!J$13</f>
        <v>2</v>
      </c>
      <c r="AC111" s="1">
        <f>$O111*[5]ölçme_sistemleri!K$13</f>
        <v>4</v>
      </c>
      <c r="AD111" s="1">
        <f>$O111*[5]ölçme_sistemleri!L$13</f>
        <v>6</v>
      </c>
      <c r="AE111" s="1">
        <f t="shared" si="44"/>
        <v>0</v>
      </c>
      <c r="AF111" s="1">
        <f t="shared" si="45"/>
        <v>4</v>
      </c>
      <c r="AG111" s="1">
        <f t="shared" si="46"/>
        <v>6</v>
      </c>
      <c r="AH111" s="1">
        <f t="shared" si="47"/>
        <v>10</v>
      </c>
      <c r="AI111" s="1">
        <v>14</v>
      </c>
      <c r="AJ111" s="1">
        <f>VLOOKUP(X111,[5]ölçme_sistemleri!I$1:M$65536,5,FALSE)</f>
        <v>1</v>
      </c>
      <c r="AK111" s="1">
        <f t="shared" si="48"/>
        <v>140</v>
      </c>
      <c r="AL111" s="1">
        <f>AI111*4</f>
        <v>56</v>
      </c>
      <c r="AM111" s="1">
        <f>VLOOKUP(X111,[5]ölçme_sistemleri!I$1:N$65536,6,FALSE)</f>
        <v>2</v>
      </c>
      <c r="AN111" s="1">
        <v>2</v>
      </c>
      <c r="AO111" s="1">
        <f t="shared" si="49"/>
        <v>4</v>
      </c>
      <c r="AP111" s="1">
        <v>14</v>
      </c>
      <c r="AQ111" s="1">
        <f t="shared" si="59"/>
        <v>28</v>
      </c>
      <c r="AR111" s="1">
        <f t="shared" si="50"/>
        <v>98</v>
      </c>
      <c r="AS111" s="1">
        <f>IF(BE111="s",25,30)</f>
        <v>25</v>
      </c>
      <c r="AT111" s="1">
        <f t="shared" si="51"/>
        <v>4</v>
      </c>
      <c r="AU111" s="1">
        <f t="shared" si="60"/>
        <v>0</v>
      </c>
      <c r="AV111" s="1">
        <f t="shared" si="73"/>
        <v>0</v>
      </c>
      <c r="AW111" s="1">
        <f t="shared" si="74"/>
        <v>0</v>
      </c>
      <c r="AX111" s="1">
        <f t="shared" si="75"/>
        <v>0</v>
      </c>
      <c r="AY111" s="1">
        <f t="shared" si="52"/>
        <v>-10</v>
      </c>
      <c r="AZ111" s="1">
        <f t="shared" si="76"/>
        <v>0</v>
      </c>
      <c r="BA111" s="1">
        <f t="shared" si="53"/>
        <v>-56</v>
      </c>
      <c r="BB111" s="1">
        <f t="shared" si="72"/>
        <v>0</v>
      </c>
      <c r="BC111" s="1">
        <f t="shared" si="55"/>
        <v>-4</v>
      </c>
      <c r="BD111" s="1">
        <f t="shared" si="56"/>
        <v>0</v>
      </c>
      <c r="BE111" s="1" t="s">
        <v>65</v>
      </c>
      <c r="BF111" s="1">
        <f>IF(BM111="A",0,IF(BE111="s",14*O111,IF(BE111="T",11*O111,"HATA")))</f>
        <v>28</v>
      </c>
      <c r="BG111" s="1">
        <f>IF(BM111="Z",(BF111+BD111)*1.15,(BF111+BD111))</f>
        <v>28</v>
      </c>
      <c r="BH111" s="1">
        <f t="shared" si="58"/>
        <v>1</v>
      </c>
      <c r="BI111" s="1" t="e">
        <f>IF(BH111-#REF!=0,"DOĞRU","YANLIŞ")</f>
        <v>#REF!</v>
      </c>
      <c r="BJ111" s="1" t="e">
        <f>#REF!-BH111</f>
        <v>#REF!</v>
      </c>
      <c r="BK111" s="1">
        <v>1</v>
      </c>
      <c r="BM111" s="1">
        <v>0</v>
      </c>
      <c r="BO111" s="1">
        <v>3</v>
      </c>
      <c r="BT111" s="8">
        <f t="shared" si="77"/>
        <v>0</v>
      </c>
      <c r="BU111" s="9"/>
      <c r="BV111" s="10"/>
      <c r="BW111" s="11"/>
      <c r="BX111" s="11"/>
      <c r="BY111" s="11"/>
      <c r="BZ111" s="11"/>
      <c r="CA111" s="11"/>
      <c r="CB111" s="12"/>
      <c r="CC111" s="13"/>
      <c r="CD111" s="14"/>
      <c r="CL111" s="82"/>
      <c r="CM111" s="82"/>
      <c r="CN111" s="82"/>
      <c r="CO111" s="82"/>
      <c r="CP111" s="82"/>
      <c r="CQ111" s="85"/>
      <c r="CR111" s="86"/>
      <c r="CS111" s="85"/>
      <c r="CT111" s="86"/>
      <c r="CU111" s="48"/>
      <c r="CV111" s="48"/>
      <c r="CW111" s="49"/>
      <c r="CX111" s="49"/>
    </row>
    <row r="112" spans="1:102" hidden="1" x14ac:dyDescent="0.25">
      <c r="A112" s="1" t="s">
        <v>191</v>
      </c>
      <c r="B112" s="1" t="s">
        <v>192</v>
      </c>
      <c r="C112" s="1" t="s">
        <v>192</v>
      </c>
      <c r="D112" s="2" t="s">
        <v>58</v>
      </c>
      <c r="E112" s="2" t="s">
        <v>58</v>
      </c>
      <c r="F112" s="3" t="e">
        <f>IF(BE112="S",
IF(#REF!+BM112=2018,
IF(#REF!=1,"18-19/1",
IF(#REF!=2,"18-19/2",
IF(#REF!=3,"19-20/1",
IF(#REF!=4,"19-20/2",
IF(#REF!=5,"20-21/1",
IF(#REF!=6,"20-21/2",
IF(#REF!=7,"21-22/1",
IF(#REF!=8,"21-22/2","Hata1")))))))),
IF(#REF!+BM112=2019,
IF(#REF!=1,"19-20/1",
IF(#REF!=2,"19-20/2",
IF(#REF!=3,"20-21/1",
IF(#REF!=4,"20-21/2",
IF(#REF!=5,"21-22/1",
IF(#REF!=6,"21-22/2",
IF(#REF!=7,"22-23/1",
IF(#REF!=8,"22-23/2","Hata2")))))))),
IF(#REF!+BM112=2020,
IF(#REF!=1,"20-21/1",
IF(#REF!=2,"20-21/2",
IF(#REF!=3,"21-22/1",
IF(#REF!=4,"21-22/2",
IF(#REF!=5,"22-23/1",
IF(#REF!=6,"22-23/2",
IF(#REF!=7,"23-24/1",
IF(#REF!=8,"23-24/2","Hata3")))))))),
IF(#REF!+BM112=2021,
IF(#REF!=1,"21-22/1",
IF(#REF!=2,"21-22/2",
IF(#REF!=3,"22-23/1",
IF(#REF!=4,"22-23/2",
IF(#REF!=5,"23-24/1",
IF(#REF!=6,"23-24/2",
IF(#REF!=7,"24-25/1",
IF(#REF!=8,"24-25/2","Hata4")))))))),
IF(#REF!+BM112=2022,
IF(#REF!=1,"22-23/1",
IF(#REF!=2,"22-23/2",
IF(#REF!=3,"23-24/1",
IF(#REF!=4,"23-24/2",
IF(#REF!=5,"24-25/1",
IF(#REF!=6,"24-25/2",
IF(#REF!=7,"25-26/1",
IF(#REF!=8,"25-26/2","Hata5")))))))),
IF(#REF!+BM112=2023,
IF(#REF!=1,"23-24/1",
IF(#REF!=2,"23-24/2",
IF(#REF!=3,"24-25/1",
IF(#REF!=4,"24-25/2",
IF(#REF!=5,"25-26/1",
IF(#REF!=6,"25-26/2",
IF(#REF!=7,"26-27/1",
IF(#REF!=8,"26-27/2","Hata6")))))))),
)))))),
IF(BE112="T",
IF(#REF!+BM112=2018,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2" s="1" t="s">
        <v>68</v>
      </c>
      <c r="J112" s="1">
        <v>4234788</v>
      </c>
      <c r="L112" s="2">
        <v>823</v>
      </c>
      <c r="N112" s="2">
        <v>4</v>
      </c>
      <c r="O112" s="6">
        <f t="shared" si="42"/>
        <v>3</v>
      </c>
      <c r="P112" s="2">
        <f t="shared" si="43"/>
        <v>3</v>
      </c>
      <c r="Q112" s="2">
        <v>0</v>
      </c>
      <c r="R112" s="2">
        <v>0</v>
      </c>
      <c r="S112" s="2">
        <v>3</v>
      </c>
      <c r="X112" s="3">
        <v>2</v>
      </c>
      <c r="Y112" s="1">
        <f>VLOOKUP(X112,[6]ölçme_sistemleri!I:L,2,FALSE)</f>
        <v>0</v>
      </c>
      <c r="Z112" s="1">
        <f>VLOOKUP(X112,[6]ölçme_sistemleri!I:L,3,FALSE)</f>
        <v>2</v>
      </c>
      <c r="AA112" s="1">
        <f>VLOOKUP(X112,[6]ölçme_sistemleri!I:L,4,FALSE)</f>
        <v>1</v>
      </c>
      <c r="AB112" s="1">
        <f>$O112*[6]ölçme_sistemleri!$J$13</f>
        <v>3</v>
      </c>
      <c r="AC112" s="1">
        <f>$O112*[6]ölçme_sistemleri!$K$13</f>
        <v>6</v>
      </c>
      <c r="AD112" s="1">
        <f>$O112*[6]ölçme_sistemleri!$L$13</f>
        <v>9</v>
      </c>
      <c r="AE112" s="1">
        <f t="shared" si="44"/>
        <v>0</v>
      </c>
      <c r="AF112" s="1">
        <f t="shared" si="45"/>
        <v>12</v>
      </c>
      <c r="AG112" s="1">
        <f t="shared" si="46"/>
        <v>9</v>
      </c>
      <c r="AH112" s="1">
        <f t="shared" si="47"/>
        <v>21</v>
      </c>
      <c r="AI112" s="1">
        <v>14</v>
      </c>
      <c r="AJ112" s="1">
        <f>VLOOKUP(X112,[6]ölçme_sistemleri!I:M,5,FALSE)</f>
        <v>2</v>
      </c>
      <c r="AK112" s="1">
        <f t="shared" si="48"/>
        <v>294</v>
      </c>
      <c r="AL112" s="1">
        <f>(Q112+S112)*AI112</f>
        <v>42</v>
      </c>
      <c r="AM112" s="1">
        <f>VLOOKUP(X112,[6]ölçme_sistemleri!I:N,6,FALSE)</f>
        <v>3</v>
      </c>
      <c r="AN112" s="1">
        <v>2</v>
      </c>
      <c r="AO112" s="1">
        <f t="shared" si="49"/>
        <v>6</v>
      </c>
      <c r="AP112" s="1">
        <v>14</v>
      </c>
      <c r="AQ112" s="1">
        <f t="shared" si="59"/>
        <v>42</v>
      </c>
      <c r="AR112" s="1">
        <f t="shared" si="50"/>
        <v>111</v>
      </c>
      <c r="AS112" s="1">
        <f>IF(BE112="s",30,25)</f>
        <v>30</v>
      </c>
      <c r="AT112" s="1">
        <f t="shared" si="51"/>
        <v>4</v>
      </c>
      <c r="AU112" s="1">
        <f t="shared" si="60"/>
        <v>0</v>
      </c>
      <c r="AV112" s="1">
        <f t="shared" si="73"/>
        <v>0</v>
      </c>
      <c r="AW112" s="1">
        <f t="shared" si="74"/>
        <v>0</v>
      </c>
      <c r="AX112" s="1">
        <f t="shared" si="75"/>
        <v>0</v>
      </c>
      <c r="AY112" s="1">
        <f t="shared" si="52"/>
        <v>-21</v>
      </c>
      <c r="AZ112" s="1">
        <f t="shared" si="76"/>
        <v>0</v>
      </c>
      <c r="BA112" s="1">
        <f t="shared" si="53"/>
        <v>-42</v>
      </c>
      <c r="BB112" s="1">
        <f t="shared" si="72"/>
        <v>0</v>
      </c>
      <c r="BC112" s="1">
        <f t="shared" si="55"/>
        <v>-6</v>
      </c>
      <c r="BD112" s="1">
        <f t="shared" si="56"/>
        <v>0</v>
      </c>
      <c r="BE112" s="1" t="s">
        <v>65</v>
      </c>
      <c r="BF112" s="1">
        <f>IF(BM112="A",0,IF(BE112="s",14*O112,IF(BE112="T",11*O112,"HATA")))</f>
        <v>42</v>
      </c>
      <c r="BG112" s="1">
        <f>IF(BM112="Z",(BF112+BD112)*1.15,(BF112+BD112))</f>
        <v>42</v>
      </c>
      <c r="BH112" s="1">
        <f t="shared" si="58"/>
        <v>1</v>
      </c>
      <c r="BI112" s="1" t="e">
        <f>IF(BH112-#REF!=0,"DOĞRU","YANLIŞ")</f>
        <v>#REF!</v>
      </c>
      <c r="BJ112" s="1" t="e">
        <f>#REF!-BH112</f>
        <v>#REF!</v>
      </c>
      <c r="BK112" s="1">
        <v>1</v>
      </c>
      <c r="BM112" s="1">
        <v>0</v>
      </c>
      <c r="BO112" s="1">
        <v>3</v>
      </c>
      <c r="BT112" s="8">
        <f t="shared" si="77"/>
        <v>0</v>
      </c>
      <c r="BU112" s="9"/>
      <c r="BV112" s="10"/>
      <c r="BW112" s="11"/>
      <c r="BX112" s="11"/>
      <c r="BY112" s="11"/>
      <c r="BZ112" s="11"/>
      <c r="CA112" s="11"/>
      <c r="CB112" s="12"/>
      <c r="CC112" s="13"/>
      <c r="CD112" s="14"/>
      <c r="CL112" s="11"/>
      <c r="CM112" s="11"/>
      <c r="CN112" s="11"/>
      <c r="CO112" s="11"/>
      <c r="CP112" s="11"/>
      <c r="CQ112" s="54"/>
      <c r="CR112" s="55"/>
      <c r="CS112" s="54"/>
      <c r="CT112" s="55"/>
      <c r="CU112" s="48"/>
      <c r="CV112" s="48"/>
      <c r="CW112" s="49"/>
      <c r="CX112" s="49"/>
    </row>
    <row r="113" spans="1:102" hidden="1" x14ac:dyDescent="0.25">
      <c r="A113" s="1" t="s">
        <v>89</v>
      </c>
      <c r="B113" s="1" t="s">
        <v>90</v>
      </c>
      <c r="C113" s="1" t="s">
        <v>90</v>
      </c>
      <c r="D113" s="2" t="s">
        <v>63</v>
      </c>
      <c r="E113" s="2" t="s">
        <v>63</v>
      </c>
      <c r="F113" s="3" t="e">
        <f>IF(BE113="S",
IF(#REF!+BM113=2018,
IF(#REF!=1,"18-19/1",
IF(#REF!=2,"18-19/2",
IF(#REF!=3,"19-20/1",
IF(#REF!=4,"19-20/2",
IF(#REF!=5,"20-21/1",
IF(#REF!=6,"20-21/2",
IF(#REF!=7,"21-22/1",
IF(#REF!=8,"21-22/2","Hata1")))))))),
IF(#REF!+BM113=2019,
IF(#REF!=1,"19-20/1",
IF(#REF!=2,"19-20/2",
IF(#REF!=3,"20-21/1",
IF(#REF!=4,"20-21/2",
IF(#REF!=5,"21-22/1",
IF(#REF!=6,"21-22/2",
IF(#REF!=7,"22-23/1",
IF(#REF!=8,"22-23/2","Hata2")))))))),
IF(#REF!+BM113=2020,
IF(#REF!=1,"20-21/1",
IF(#REF!=2,"20-21/2",
IF(#REF!=3,"21-22/1",
IF(#REF!=4,"21-22/2",
IF(#REF!=5,"22-23/1",
IF(#REF!=6,"22-23/2",
IF(#REF!=7,"23-24/1",
IF(#REF!=8,"23-24/2","Hata3")))))))),
IF(#REF!+BM113=2021,
IF(#REF!=1,"21-22/1",
IF(#REF!=2,"21-22/2",
IF(#REF!=3,"22-23/1",
IF(#REF!=4,"22-23/2",
IF(#REF!=5,"23-24/1",
IF(#REF!=6,"23-24/2",
IF(#REF!=7,"24-25/1",
IF(#REF!=8,"24-25/2","Hata4")))))))),
IF(#REF!+BM113=2022,
IF(#REF!=1,"22-23/1",
IF(#REF!=2,"22-23/2",
IF(#REF!=3,"23-24/1",
IF(#REF!=4,"23-24/2",
IF(#REF!=5,"24-25/1",
IF(#REF!=6,"24-25/2",
IF(#REF!=7,"25-26/1",
IF(#REF!=8,"25-26/2","Hata5")))))))),
IF(#REF!+BM113=2023,
IF(#REF!=1,"23-24/1",
IF(#REF!=2,"23-24/2",
IF(#REF!=3,"24-25/1",
IF(#REF!=4,"24-25/2",
IF(#REF!=5,"25-26/1",
IF(#REF!=6,"25-26/2",
IF(#REF!=7,"26-27/1",
IF(#REF!=8,"26-27/2","Hata6")))))))),
)))))),
IF(BE113="T",
IF(#REF!+BM113=2018,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3" s="1" t="s">
        <v>68</v>
      </c>
      <c r="J113" s="1">
        <v>4234788</v>
      </c>
      <c r="L113" s="2">
        <v>3573</v>
      </c>
      <c r="N113" s="2">
        <v>5</v>
      </c>
      <c r="O113" s="6">
        <f t="shared" si="42"/>
        <v>3</v>
      </c>
      <c r="P113" s="2">
        <f t="shared" si="43"/>
        <v>3</v>
      </c>
      <c r="Q113" s="2">
        <v>0</v>
      </c>
      <c r="R113" s="2">
        <v>0</v>
      </c>
      <c r="S113" s="2">
        <v>3</v>
      </c>
      <c r="X113" s="3">
        <v>3</v>
      </c>
      <c r="Y113" s="1">
        <f>VLOOKUP($X113,[5]ölçme_sistemleri!I$1:L$65536,2,FALSE)</f>
        <v>2</v>
      </c>
      <c r="Z113" s="1">
        <f>VLOOKUP($X113,[5]ölçme_sistemleri!I$1:L$65536,3,FALSE)</f>
        <v>1</v>
      </c>
      <c r="AA113" s="1">
        <f>VLOOKUP($X113,[5]ölçme_sistemleri!I$1:L$65536,4,FALSE)</f>
        <v>1</v>
      </c>
      <c r="AB113" s="1">
        <f>$O113*[5]ölçme_sistemleri!J$13</f>
        <v>3</v>
      </c>
      <c r="AC113" s="1">
        <f>$O113*[5]ölçme_sistemleri!K$13</f>
        <v>6</v>
      </c>
      <c r="AD113" s="1">
        <f>$O113*[5]ölçme_sistemleri!L$13</f>
        <v>9</v>
      </c>
      <c r="AE113" s="1">
        <f t="shared" si="44"/>
        <v>6</v>
      </c>
      <c r="AF113" s="1">
        <f t="shared" si="45"/>
        <v>6</v>
      </c>
      <c r="AG113" s="1">
        <f t="shared" si="46"/>
        <v>9</v>
      </c>
      <c r="AH113" s="1">
        <f t="shared" si="47"/>
        <v>21</v>
      </c>
      <c r="AI113" s="1">
        <v>14</v>
      </c>
      <c r="AJ113" s="1">
        <f>VLOOKUP(X113,[5]ölçme_sistemleri!I$1:M$65536,5,FALSE)</f>
        <v>3</v>
      </c>
      <c r="AK113" s="1">
        <f t="shared" si="48"/>
        <v>294</v>
      </c>
      <c r="AL113" s="1">
        <f>AI113*4</f>
        <v>56</v>
      </c>
      <c r="AM113" s="1">
        <f>VLOOKUP(X113,[5]ölçme_sistemleri!I$1:N$65536,6,FALSE)</f>
        <v>4</v>
      </c>
      <c r="AN113" s="1">
        <v>2</v>
      </c>
      <c r="AO113" s="1">
        <f t="shared" si="49"/>
        <v>8</v>
      </c>
      <c r="AP113" s="1">
        <v>14</v>
      </c>
      <c r="AQ113" s="1">
        <f t="shared" si="59"/>
        <v>42</v>
      </c>
      <c r="AR113" s="1">
        <f t="shared" si="50"/>
        <v>127</v>
      </c>
      <c r="AS113" s="1">
        <f>IF(BE113="s",25,30)</f>
        <v>25</v>
      </c>
      <c r="AT113" s="1">
        <f t="shared" si="51"/>
        <v>5</v>
      </c>
      <c r="AU113" s="1">
        <f t="shared" si="60"/>
        <v>0</v>
      </c>
      <c r="AV113" s="1">
        <f t="shared" si="73"/>
        <v>0</v>
      </c>
      <c r="AW113" s="1">
        <f t="shared" si="74"/>
        <v>0</v>
      </c>
      <c r="AX113" s="1">
        <f t="shared" si="75"/>
        <v>0</v>
      </c>
      <c r="AY113" s="1">
        <f t="shared" si="52"/>
        <v>-21</v>
      </c>
      <c r="AZ113" s="1">
        <f t="shared" si="76"/>
        <v>0</v>
      </c>
      <c r="BA113" s="1">
        <f t="shared" si="53"/>
        <v>-56</v>
      </c>
      <c r="BB113" s="1">
        <f t="shared" si="72"/>
        <v>0</v>
      </c>
      <c r="BC113" s="1">
        <f t="shared" si="55"/>
        <v>-8</v>
      </c>
      <c r="BD113" s="1">
        <f t="shared" si="56"/>
        <v>0</v>
      </c>
      <c r="BE113" s="1" t="s">
        <v>65</v>
      </c>
      <c r="BF113" s="1">
        <f t="shared" ref="BF113:BF120" si="79">IF(BL113="A",0,IF(BE113="s",14*O113,IF(BE113="T",11*O113,"HATA")))</f>
        <v>42</v>
      </c>
      <c r="BG113" s="1">
        <f t="shared" ref="BG113:BG120" si="80">IF(BL113="Z",(BF113+BD113)*1.15,(BF113+BD113))</f>
        <v>42</v>
      </c>
      <c r="BH113" s="1">
        <f t="shared" si="58"/>
        <v>1</v>
      </c>
      <c r="BI113" s="1" t="e">
        <f>IF(BH113-#REF!=0,"DOĞRU","YANLIŞ")</f>
        <v>#REF!</v>
      </c>
      <c r="BJ113" s="1" t="e">
        <f>#REF!-BH113</f>
        <v>#REF!</v>
      </c>
      <c r="BK113" s="1">
        <v>1</v>
      </c>
      <c r="BM113" s="1">
        <v>0</v>
      </c>
      <c r="BO113" s="1">
        <v>3</v>
      </c>
      <c r="BT113" s="8">
        <f t="shared" si="77"/>
        <v>0</v>
      </c>
      <c r="BU113" s="9"/>
      <c r="BV113" s="10"/>
      <c r="BW113" s="11"/>
      <c r="BX113" s="11"/>
      <c r="BY113" s="11"/>
      <c r="BZ113" s="11"/>
      <c r="CA113" s="11"/>
      <c r="CB113" s="12"/>
      <c r="CC113" s="13"/>
      <c r="CD113" s="14"/>
      <c r="CL113" s="11"/>
      <c r="CM113" s="11"/>
      <c r="CN113" s="11"/>
      <c r="CO113" s="11"/>
      <c r="CP113" s="11"/>
      <c r="CQ113" s="49"/>
      <c r="CR113" s="46"/>
      <c r="CS113" s="54"/>
      <c r="CT113" s="48"/>
      <c r="CU113" s="54"/>
      <c r="CV113" s="48"/>
      <c r="CW113" s="49"/>
      <c r="CX113" s="49"/>
    </row>
    <row r="114" spans="1:102" hidden="1" x14ac:dyDescent="0.25">
      <c r="A114" s="1" t="s">
        <v>193</v>
      </c>
      <c r="B114" s="1" t="s">
        <v>194</v>
      </c>
      <c r="C114" s="1" t="s">
        <v>194</v>
      </c>
      <c r="D114" s="2" t="s">
        <v>58</v>
      </c>
      <c r="E114" s="2" t="s">
        <v>58</v>
      </c>
      <c r="F114" s="3" t="e">
        <f>IF(BE114="S",
IF(#REF!+BM114=2018,
IF(#REF!=1,"18-19/1",
IF(#REF!=2,"18-19/2",
IF(#REF!=3,"19-20/1",
IF(#REF!=4,"19-20/2",
IF(#REF!=5,"20-21/1",
IF(#REF!=6,"20-21/2",
IF(#REF!=7,"21-22/1",
IF(#REF!=8,"21-22/2","Hata1")))))))),
IF(#REF!+BM114=2019,
IF(#REF!=1,"19-20/1",
IF(#REF!=2,"19-20/2",
IF(#REF!=3,"20-21/1",
IF(#REF!=4,"20-21/2",
IF(#REF!=5,"21-22/1",
IF(#REF!=6,"21-22/2",
IF(#REF!=7,"22-23/1",
IF(#REF!=8,"22-23/2","Hata2")))))))),
IF(#REF!+BM114=2020,
IF(#REF!=1,"20-21/1",
IF(#REF!=2,"20-21/2",
IF(#REF!=3,"21-22/1",
IF(#REF!=4,"21-22/2",
IF(#REF!=5,"22-23/1",
IF(#REF!=6,"22-23/2",
IF(#REF!=7,"23-24/1",
IF(#REF!=8,"23-24/2","Hata3")))))))),
IF(#REF!+BM114=2021,
IF(#REF!=1,"21-22/1",
IF(#REF!=2,"21-22/2",
IF(#REF!=3,"22-23/1",
IF(#REF!=4,"22-23/2",
IF(#REF!=5,"23-24/1",
IF(#REF!=6,"23-24/2",
IF(#REF!=7,"24-25/1",
IF(#REF!=8,"24-25/2","Hata4")))))))),
IF(#REF!+BM114=2022,
IF(#REF!=1,"22-23/1",
IF(#REF!=2,"22-23/2",
IF(#REF!=3,"23-24/1",
IF(#REF!=4,"23-24/2",
IF(#REF!=5,"24-25/1",
IF(#REF!=6,"24-25/2",
IF(#REF!=7,"25-26/1",
IF(#REF!=8,"25-26/2","Hata5")))))))),
IF(#REF!+BM114=2023,
IF(#REF!=1,"23-24/1",
IF(#REF!=2,"23-24/2",
IF(#REF!=3,"24-25/1",
IF(#REF!=4,"24-25/2",
IF(#REF!=5,"25-26/1",
IF(#REF!=6,"25-26/2",
IF(#REF!=7,"26-27/1",
IF(#REF!=8,"26-27/2","Hata6")))))))),
)))))),
IF(BE114="T",
IF(#REF!+BM114=2018,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4" s="1" t="s">
        <v>68</v>
      </c>
      <c r="J114" s="1">
        <v>4234788</v>
      </c>
      <c r="L114" s="2">
        <v>937</v>
      </c>
      <c r="N114" s="2">
        <v>4</v>
      </c>
      <c r="O114" s="6">
        <f t="shared" si="42"/>
        <v>3</v>
      </c>
      <c r="P114" s="2">
        <f t="shared" si="43"/>
        <v>3</v>
      </c>
      <c r="Q114" s="2">
        <v>0</v>
      </c>
      <c r="R114" s="2">
        <v>0</v>
      </c>
      <c r="S114" s="2">
        <v>3</v>
      </c>
      <c r="X114" s="3">
        <v>2</v>
      </c>
      <c r="Y114" s="1">
        <f>VLOOKUP(X114,[6]ölçme_sistemleri!I:L,2,FALSE)</f>
        <v>0</v>
      </c>
      <c r="Z114" s="1">
        <f>VLOOKUP(X114,[6]ölçme_sistemleri!I:L,3,FALSE)</f>
        <v>2</v>
      </c>
      <c r="AA114" s="1">
        <f>VLOOKUP(X114,[6]ölçme_sistemleri!I:L,4,FALSE)</f>
        <v>1</v>
      </c>
      <c r="AB114" s="1">
        <f>$O114*[6]ölçme_sistemleri!$J$13</f>
        <v>3</v>
      </c>
      <c r="AC114" s="1">
        <f>$O114*[6]ölçme_sistemleri!$K$13</f>
        <v>6</v>
      </c>
      <c r="AD114" s="1">
        <f>$O114*[6]ölçme_sistemleri!$L$13</f>
        <v>9</v>
      </c>
      <c r="AE114" s="1">
        <f t="shared" si="44"/>
        <v>0</v>
      </c>
      <c r="AF114" s="1">
        <f t="shared" si="45"/>
        <v>12</v>
      </c>
      <c r="AG114" s="1">
        <f t="shared" si="46"/>
        <v>9</v>
      </c>
      <c r="AH114" s="1">
        <f t="shared" si="47"/>
        <v>21</v>
      </c>
      <c r="AI114" s="1">
        <v>14</v>
      </c>
      <c r="AJ114" s="1">
        <f>VLOOKUP(X114,[6]ölçme_sistemleri!I:M,5,FALSE)</f>
        <v>2</v>
      </c>
      <c r="AK114" s="1">
        <f t="shared" si="48"/>
        <v>294</v>
      </c>
      <c r="AL114" s="1">
        <f>(Q114+S114)*AI114</f>
        <v>42</v>
      </c>
      <c r="AM114" s="1">
        <f>VLOOKUP(X114,[6]ölçme_sistemleri!I:N,6,FALSE)</f>
        <v>3</v>
      </c>
      <c r="AN114" s="1">
        <v>2</v>
      </c>
      <c r="AO114" s="1">
        <f t="shared" si="49"/>
        <v>6</v>
      </c>
      <c r="AP114" s="1">
        <v>14</v>
      </c>
      <c r="AQ114" s="1">
        <f t="shared" si="59"/>
        <v>42</v>
      </c>
      <c r="AR114" s="1">
        <f t="shared" si="50"/>
        <v>111</v>
      </c>
      <c r="AS114" s="1">
        <f>IF(BE114="s",30,25)</f>
        <v>30</v>
      </c>
      <c r="AT114" s="1">
        <f t="shared" si="51"/>
        <v>4</v>
      </c>
      <c r="AU114" s="1">
        <f t="shared" si="60"/>
        <v>0</v>
      </c>
      <c r="AV114" s="1">
        <f t="shared" si="73"/>
        <v>0</v>
      </c>
      <c r="AW114" s="1">
        <f t="shared" si="74"/>
        <v>0</v>
      </c>
      <c r="AX114" s="1">
        <f t="shared" si="75"/>
        <v>0</v>
      </c>
      <c r="AY114" s="1">
        <f t="shared" si="52"/>
        <v>-21</v>
      </c>
      <c r="AZ114" s="1">
        <f t="shared" si="76"/>
        <v>0</v>
      </c>
      <c r="BA114" s="1">
        <f t="shared" si="53"/>
        <v>-42</v>
      </c>
      <c r="BB114" s="1">
        <f t="shared" si="72"/>
        <v>0</v>
      </c>
      <c r="BC114" s="1">
        <f t="shared" si="55"/>
        <v>-6</v>
      </c>
      <c r="BD114" s="1">
        <f t="shared" si="56"/>
        <v>0</v>
      </c>
      <c r="BE114" s="1" t="s">
        <v>65</v>
      </c>
      <c r="BF114" s="1">
        <f t="shared" si="79"/>
        <v>42</v>
      </c>
      <c r="BG114" s="1">
        <f t="shared" si="80"/>
        <v>42</v>
      </c>
      <c r="BH114" s="1">
        <f t="shared" si="58"/>
        <v>1</v>
      </c>
      <c r="BI114" s="1" t="e">
        <f>IF(BH114-#REF!=0,"DOĞRU","YANLIŞ")</f>
        <v>#REF!</v>
      </c>
      <c r="BJ114" s="1" t="e">
        <f>#REF!-BH114</f>
        <v>#REF!</v>
      </c>
      <c r="BK114" s="1">
        <v>1</v>
      </c>
      <c r="BM114" s="1">
        <v>0</v>
      </c>
      <c r="BO114" s="1">
        <v>3</v>
      </c>
      <c r="BT114" s="8">
        <f t="shared" si="77"/>
        <v>0</v>
      </c>
      <c r="BU114" s="9"/>
      <c r="BV114" s="10"/>
      <c r="BW114" s="11"/>
      <c r="BX114" s="11"/>
      <c r="BY114" s="11"/>
      <c r="BZ114" s="11"/>
      <c r="CA114" s="11"/>
      <c r="CB114" s="12"/>
      <c r="CC114" s="13"/>
      <c r="CD114" s="14"/>
      <c r="CL114" s="11"/>
      <c r="CM114" s="11"/>
      <c r="CN114" s="11"/>
      <c r="CO114" s="11"/>
      <c r="CP114" s="11"/>
      <c r="CQ114" s="49"/>
      <c r="CR114" s="46"/>
      <c r="CS114" s="48"/>
      <c r="CT114" s="48"/>
      <c r="CU114" s="48"/>
      <c r="CV114" s="48"/>
      <c r="CW114" s="49"/>
      <c r="CX114" s="49"/>
    </row>
    <row r="115" spans="1:102" hidden="1" x14ac:dyDescent="0.25">
      <c r="A115" s="1" t="s">
        <v>76</v>
      </c>
      <c r="B115" s="1" t="s">
        <v>77</v>
      </c>
      <c r="C115" s="1" t="s">
        <v>77</v>
      </c>
      <c r="D115" s="2" t="s">
        <v>58</v>
      </c>
      <c r="E115" s="2" t="s">
        <v>58</v>
      </c>
      <c r="F115" s="3" t="e">
        <f>IF(BE115="S",
IF(#REF!+BM115=2018,
IF(#REF!=1,"18-19/1",
IF(#REF!=2,"18-19/2",
IF(#REF!=3,"19-20/1",
IF(#REF!=4,"19-20/2",
IF(#REF!=5,"20-21/1",
IF(#REF!=6,"20-21/2",
IF(#REF!=7,"21-22/1",
IF(#REF!=8,"21-22/2","Hata1")))))))),
IF(#REF!+BM115=2019,
IF(#REF!=1,"19-20/1",
IF(#REF!=2,"19-20/2",
IF(#REF!=3,"20-21/1",
IF(#REF!=4,"20-21/2",
IF(#REF!=5,"21-22/1",
IF(#REF!=6,"21-22/2",
IF(#REF!=7,"22-23/1",
IF(#REF!=8,"22-23/2","Hata2")))))))),
IF(#REF!+BM115=2020,
IF(#REF!=1,"20-21/1",
IF(#REF!=2,"20-21/2",
IF(#REF!=3,"21-22/1",
IF(#REF!=4,"21-22/2",
IF(#REF!=5,"22-23/1",
IF(#REF!=6,"22-23/2",
IF(#REF!=7,"23-24/1",
IF(#REF!=8,"23-24/2","Hata3")))))))),
IF(#REF!+BM115=2021,
IF(#REF!=1,"21-22/1",
IF(#REF!=2,"21-22/2",
IF(#REF!=3,"22-23/1",
IF(#REF!=4,"22-23/2",
IF(#REF!=5,"23-24/1",
IF(#REF!=6,"23-24/2",
IF(#REF!=7,"24-25/1",
IF(#REF!=8,"24-25/2","Hata4")))))))),
IF(#REF!+BM115=2022,
IF(#REF!=1,"22-23/1",
IF(#REF!=2,"22-23/2",
IF(#REF!=3,"23-24/1",
IF(#REF!=4,"23-24/2",
IF(#REF!=5,"24-25/1",
IF(#REF!=6,"24-25/2",
IF(#REF!=7,"25-26/1",
IF(#REF!=8,"25-26/2","Hata5")))))))),
IF(#REF!+BM115=2023,
IF(#REF!=1,"23-24/1",
IF(#REF!=2,"23-24/2",
IF(#REF!=3,"24-25/1",
IF(#REF!=4,"24-25/2",
IF(#REF!=5,"25-26/1",
IF(#REF!=6,"25-26/2",
IF(#REF!=7,"26-27/1",
IF(#REF!=8,"26-27/2","Hata6")))))))),
)))))),
IF(BE115="T",
IF(#REF!+BM115=2018,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5" s="1" t="s">
        <v>68</v>
      </c>
      <c r="J115" s="1">
        <v>4234788</v>
      </c>
      <c r="L115" s="2">
        <v>3403</v>
      </c>
      <c r="N115" s="2">
        <v>4</v>
      </c>
      <c r="O115" s="6">
        <f t="shared" si="42"/>
        <v>2</v>
      </c>
      <c r="P115" s="2">
        <f t="shared" si="43"/>
        <v>2</v>
      </c>
      <c r="Q115" s="2">
        <v>0</v>
      </c>
      <c r="R115" s="2">
        <v>0</v>
      </c>
      <c r="S115" s="2">
        <v>2</v>
      </c>
      <c r="X115" s="3">
        <v>7</v>
      </c>
      <c r="Y115" s="1">
        <f>VLOOKUP(X115,[15]ölçme_sistemleri!I:L,2,FALSE)</f>
        <v>0</v>
      </c>
      <c r="Z115" s="1">
        <f>VLOOKUP(X115,[15]ölçme_sistemleri!I:L,3,FALSE)</f>
        <v>1</v>
      </c>
      <c r="AA115" s="1">
        <f>VLOOKUP(X115,[15]ölçme_sistemleri!I:L,4,FALSE)</f>
        <v>1</v>
      </c>
      <c r="AB115" s="1">
        <f>$O115*[15]ölçme_sistemleri!J$13</f>
        <v>2</v>
      </c>
      <c r="AC115" s="1">
        <f>$O115*[15]ölçme_sistemleri!K$13</f>
        <v>4</v>
      </c>
      <c r="AD115" s="1">
        <f>$O115*[15]ölçme_sistemleri!L$13</f>
        <v>6</v>
      </c>
      <c r="AE115" s="1">
        <f t="shared" si="44"/>
        <v>0</v>
      </c>
      <c r="AF115" s="1">
        <f t="shared" si="45"/>
        <v>4</v>
      </c>
      <c r="AG115" s="1">
        <f t="shared" si="46"/>
        <v>6</v>
      </c>
      <c r="AH115" s="1">
        <f t="shared" si="47"/>
        <v>10</v>
      </c>
      <c r="AI115" s="1">
        <v>14</v>
      </c>
      <c r="AJ115" s="1">
        <f>VLOOKUP(X115,[15]ölçme_sistemleri!I:M,5,FALSE)</f>
        <v>1</v>
      </c>
      <c r="AK115" s="1">
        <f t="shared" si="48"/>
        <v>140</v>
      </c>
      <c r="AL115" s="1">
        <f>((Q115+S115)*AI115)*2</f>
        <v>56</v>
      </c>
      <c r="AM115" s="1">
        <f>VLOOKUP(X115,[15]ölçme_sistemleri!I:N,6,FALSE)</f>
        <v>2</v>
      </c>
      <c r="AN115" s="1">
        <v>2</v>
      </c>
      <c r="AO115" s="1">
        <f t="shared" si="49"/>
        <v>4</v>
      </c>
      <c r="AP115" s="1">
        <v>14</v>
      </c>
      <c r="AQ115" s="1">
        <f t="shared" si="59"/>
        <v>28</v>
      </c>
      <c r="AR115" s="1">
        <f t="shared" si="50"/>
        <v>98</v>
      </c>
      <c r="AS115" s="1">
        <v>25</v>
      </c>
      <c r="AT115" s="1">
        <f t="shared" si="51"/>
        <v>4</v>
      </c>
      <c r="AU115" s="1">
        <f t="shared" si="60"/>
        <v>0</v>
      </c>
      <c r="AV115" s="1">
        <f t="shared" si="73"/>
        <v>0</v>
      </c>
      <c r="AW115" s="1">
        <f t="shared" si="74"/>
        <v>0</v>
      </c>
      <c r="AX115" s="1">
        <f t="shared" si="75"/>
        <v>0</v>
      </c>
      <c r="AY115" s="1">
        <f t="shared" si="52"/>
        <v>-10</v>
      </c>
      <c r="AZ115" s="1">
        <f t="shared" si="76"/>
        <v>0</v>
      </c>
      <c r="BA115" s="1">
        <f t="shared" si="53"/>
        <v>-56</v>
      </c>
      <c r="BB115" s="1">
        <f t="shared" si="72"/>
        <v>0</v>
      </c>
      <c r="BC115" s="1">
        <f t="shared" si="55"/>
        <v>-4</v>
      </c>
      <c r="BD115" s="1">
        <f t="shared" si="56"/>
        <v>0</v>
      </c>
      <c r="BE115" s="1" t="s">
        <v>65</v>
      </c>
      <c r="BF115" s="1">
        <f t="shared" si="79"/>
        <v>28</v>
      </c>
      <c r="BG115" s="1">
        <f t="shared" si="80"/>
        <v>28</v>
      </c>
      <c r="BH115" s="1">
        <f t="shared" si="58"/>
        <v>1</v>
      </c>
      <c r="BI115" s="1" t="e">
        <f>IF(BH115-#REF!=0,"DOĞRU","YANLIŞ")</f>
        <v>#REF!</v>
      </c>
      <c r="BJ115" s="1" t="e">
        <f>#REF!-BH115</f>
        <v>#REF!</v>
      </c>
      <c r="BK115" s="1">
        <v>0</v>
      </c>
      <c r="BM115" s="1">
        <v>0</v>
      </c>
      <c r="BO115" s="1">
        <v>2</v>
      </c>
      <c r="BT115" s="8">
        <f t="shared" si="77"/>
        <v>0</v>
      </c>
      <c r="BU115" s="9"/>
      <c r="BV115" s="10"/>
      <c r="BW115" s="11"/>
      <c r="BX115" s="11"/>
      <c r="BY115" s="11"/>
      <c r="BZ115" s="11"/>
      <c r="CA115" s="11"/>
      <c r="CB115" s="12"/>
      <c r="CC115" s="13"/>
      <c r="CD115" s="14"/>
      <c r="CL115" s="11"/>
      <c r="CM115" s="11"/>
      <c r="CN115" s="11"/>
      <c r="CO115" s="11"/>
      <c r="CP115" s="11"/>
      <c r="CQ115" s="49"/>
      <c r="CR115" s="46"/>
      <c r="CS115" s="49"/>
      <c r="CT115" s="48"/>
      <c r="CU115" s="49"/>
      <c r="CV115" s="48"/>
      <c r="CW115" s="49"/>
      <c r="CX115" s="49"/>
    </row>
    <row r="116" spans="1:102" hidden="1" x14ac:dyDescent="0.25">
      <c r="A116" s="1" t="s">
        <v>69</v>
      </c>
      <c r="B116" s="1" t="s">
        <v>70</v>
      </c>
      <c r="C116" s="1" t="s">
        <v>70</v>
      </c>
      <c r="D116" s="2" t="s">
        <v>63</v>
      </c>
      <c r="E116" s="2" t="s">
        <v>63</v>
      </c>
      <c r="F116" s="3" t="e">
        <f>IF(BE116="S",
IF(#REF!+BM116=2018,
IF(#REF!=1,"18-19/1",
IF(#REF!=2,"18-19/2",
IF(#REF!=3,"19-20/1",
IF(#REF!=4,"19-20/2",
IF(#REF!=5,"20-21/1",
IF(#REF!=6,"20-21/2",
IF(#REF!=7,"21-22/1",
IF(#REF!=8,"21-22/2","Hata1")))))))),
IF(#REF!+BM116=2019,
IF(#REF!=1,"19-20/1",
IF(#REF!=2,"19-20/2",
IF(#REF!=3,"20-21/1",
IF(#REF!=4,"20-21/2",
IF(#REF!=5,"21-22/1",
IF(#REF!=6,"21-22/2",
IF(#REF!=7,"22-23/1",
IF(#REF!=8,"22-23/2","Hata2")))))))),
IF(#REF!+BM116=2020,
IF(#REF!=1,"20-21/1",
IF(#REF!=2,"20-21/2",
IF(#REF!=3,"21-22/1",
IF(#REF!=4,"21-22/2",
IF(#REF!=5,"22-23/1",
IF(#REF!=6,"22-23/2",
IF(#REF!=7,"23-24/1",
IF(#REF!=8,"23-24/2","Hata3")))))))),
IF(#REF!+BM116=2021,
IF(#REF!=1,"21-22/1",
IF(#REF!=2,"21-22/2",
IF(#REF!=3,"22-23/1",
IF(#REF!=4,"22-23/2",
IF(#REF!=5,"23-24/1",
IF(#REF!=6,"23-24/2",
IF(#REF!=7,"24-25/1",
IF(#REF!=8,"24-25/2","Hata4")))))))),
IF(#REF!+BM116=2022,
IF(#REF!=1,"22-23/1",
IF(#REF!=2,"22-23/2",
IF(#REF!=3,"23-24/1",
IF(#REF!=4,"23-24/2",
IF(#REF!=5,"24-25/1",
IF(#REF!=6,"24-25/2",
IF(#REF!=7,"25-26/1",
IF(#REF!=8,"25-26/2","Hata5")))))))),
IF(#REF!+BM116=2023,
IF(#REF!=1,"23-24/1",
IF(#REF!=2,"23-24/2",
IF(#REF!=3,"24-25/1",
IF(#REF!=4,"24-25/2",
IF(#REF!=5,"25-26/1",
IF(#REF!=6,"25-26/2",
IF(#REF!=7,"26-27/1",
IF(#REF!=8,"26-27/2","Hata6")))))))),
)))))),
IF(BE116="T",
IF(#REF!+BM116=2018,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6" s="1" t="s">
        <v>68</v>
      </c>
      <c r="J116" s="1">
        <v>4234788</v>
      </c>
      <c r="N116" s="2">
        <v>5</v>
      </c>
      <c r="O116" s="6">
        <f t="shared" si="42"/>
        <v>2.5</v>
      </c>
      <c r="P116" s="2">
        <f t="shared" si="43"/>
        <v>4</v>
      </c>
      <c r="Q116" s="2">
        <v>1</v>
      </c>
      <c r="R116" s="2">
        <v>3</v>
      </c>
      <c r="S116" s="2">
        <v>0</v>
      </c>
      <c r="X116" s="3">
        <v>3</v>
      </c>
      <c r="Y116" s="1">
        <f>VLOOKUP($X116,[5]ölçme_sistemleri!I$1:L$65536,2,FALSE)</f>
        <v>2</v>
      </c>
      <c r="Z116" s="1">
        <f>VLOOKUP($X116,[5]ölçme_sistemleri!I$1:L$65536,3,FALSE)</f>
        <v>1</v>
      </c>
      <c r="AA116" s="1">
        <f>VLOOKUP($X116,[5]ölçme_sistemleri!I$1:L$65536,4,FALSE)</f>
        <v>1</v>
      </c>
      <c r="AB116" s="1">
        <f>$O116*[5]ölçme_sistemleri!J$13</f>
        <v>2.5</v>
      </c>
      <c r="AC116" s="1">
        <f>$O116*[5]ölçme_sistemleri!K$13</f>
        <v>5</v>
      </c>
      <c r="AD116" s="1">
        <f>$O116*[5]ölçme_sistemleri!L$13</f>
        <v>7.5</v>
      </c>
      <c r="AE116" s="1">
        <f t="shared" si="44"/>
        <v>5</v>
      </c>
      <c r="AF116" s="1">
        <f t="shared" si="45"/>
        <v>5</v>
      </c>
      <c r="AG116" s="1">
        <f t="shared" si="46"/>
        <v>7.5</v>
      </c>
      <c r="AH116" s="1">
        <f t="shared" si="47"/>
        <v>17.5</v>
      </c>
      <c r="AI116" s="1">
        <v>14</v>
      </c>
      <c r="AJ116" s="1">
        <f>VLOOKUP(X116,[5]ölçme_sistemleri!I$1:M$65536,5,FALSE)</f>
        <v>3</v>
      </c>
      <c r="AK116" s="1">
        <f t="shared" si="48"/>
        <v>245</v>
      </c>
      <c r="AL116" s="1">
        <f>AI116*3</f>
        <v>42</v>
      </c>
      <c r="AM116" s="1">
        <f>VLOOKUP(X116,[5]ölçme_sistemleri!I$1:N$65536,6,FALSE)</f>
        <v>4</v>
      </c>
      <c r="AN116" s="1">
        <v>2</v>
      </c>
      <c r="AO116" s="1">
        <f t="shared" si="49"/>
        <v>8</v>
      </c>
      <c r="AP116" s="1">
        <v>14</v>
      </c>
      <c r="AQ116" s="1">
        <f t="shared" si="59"/>
        <v>56</v>
      </c>
      <c r="AR116" s="1">
        <f t="shared" si="50"/>
        <v>123.5</v>
      </c>
      <c r="AS116" s="1">
        <f>IF(BE116="s",25,30)</f>
        <v>25</v>
      </c>
      <c r="AT116" s="1">
        <f t="shared" si="51"/>
        <v>5</v>
      </c>
      <c r="AU116" s="1">
        <f t="shared" si="60"/>
        <v>0</v>
      </c>
      <c r="AV116" s="1">
        <f t="shared" si="73"/>
        <v>0</v>
      </c>
      <c r="AW116" s="1">
        <f t="shared" si="74"/>
        <v>0</v>
      </c>
      <c r="AX116" s="1">
        <f t="shared" si="75"/>
        <v>0</v>
      </c>
      <c r="AY116" s="1">
        <f t="shared" si="52"/>
        <v>-17.5</v>
      </c>
      <c r="AZ116" s="1">
        <f t="shared" si="76"/>
        <v>0</v>
      </c>
      <c r="BA116" s="1">
        <f t="shared" si="53"/>
        <v>-42</v>
      </c>
      <c r="BB116" s="1">
        <f t="shared" si="72"/>
        <v>0</v>
      </c>
      <c r="BC116" s="1">
        <f t="shared" si="55"/>
        <v>-8</v>
      </c>
      <c r="BD116" s="1">
        <f t="shared" si="56"/>
        <v>0</v>
      </c>
      <c r="BE116" s="1" t="s">
        <v>65</v>
      </c>
      <c r="BF116" s="1">
        <f t="shared" si="79"/>
        <v>35</v>
      </c>
      <c r="BG116" s="1">
        <f t="shared" si="80"/>
        <v>35</v>
      </c>
      <c r="BH116" s="1">
        <f t="shared" si="58"/>
        <v>1</v>
      </c>
      <c r="BI116" s="1" t="e">
        <f>IF(BH116-#REF!=0,"DOĞRU","YANLIŞ")</f>
        <v>#REF!</v>
      </c>
      <c r="BJ116" s="1" t="e">
        <f>#REF!-BH116</f>
        <v>#REF!</v>
      </c>
      <c r="BK116" s="1">
        <v>1</v>
      </c>
      <c r="BM116" s="1">
        <v>0</v>
      </c>
      <c r="BO116" s="1">
        <v>2</v>
      </c>
      <c r="BT116" s="8">
        <f t="shared" si="77"/>
        <v>42</v>
      </c>
      <c r="BU116" s="9"/>
      <c r="BV116" s="10"/>
      <c r="BW116" s="11"/>
      <c r="BX116" s="11"/>
      <c r="BY116" s="11"/>
      <c r="BZ116" s="11"/>
      <c r="CA116" s="11"/>
      <c r="CB116" s="12"/>
      <c r="CC116" s="13"/>
      <c r="CD116" s="14"/>
      <c r="CL116" s="11"/>
      <c r="CM116" s="11"/>
      <c r="CN116" s="11"/>
      <c r="CO116" s="11"/>
      <c r="CP116" s="11"/>
      <c r="CQ116" s="54"/>
      <c r="CR116" s="55"/>
      <c r="CS116" s="48"/>
      <c r="CT116" s="48"/>
      <c r="CU116" s="48"/>
      <c r="CV116" s="48"/>
      <c r="CW116" s="49"/>
      <c r="CX116" s="49"/>
    </row>
    <row r="117" spans="1:102" hidden="1" x14ac:dyDescent="0.25">
      <c r="A117" s="1" t="s">
        <v>91</v>
      </c>
      <c r="B117" s="1" t="s">
        <v>92</v>
      </c>
      <c r="C117" s="1" t="s">
        <v>92</v>
      </c>
      <c r="D117" s="2" t="s">
        <v>63</v>
      </c>
      <c r="E117" s="2" t="s">
        <v>63</v>
      </c>
      <c r="F117" s="3" t="e">
        <f>IF(BE117="S",
IF(#REF!+BM117=2018,
IF(#REF!=1,"18-19/1",
IF(#REF!=2,"18-19/2",
IF(#REF!=3,"19-20/1",
IF(#REF!=4,"19-20/2",
IF(#REF!=5,"20-21/1",
IF(#REF!=6,"20-21/2",
IF(#REF!=7,"21-22/1",
IF(#REF!=8,"21-22/2","Hata1")))))))),
IF(#REF!+BM117=2019,
IF(#REF!=1,"19-20/1",
IF(#REF!=2,"19-20/2",
IF(#REF!=3,"20-21/1",
IF(#REF!=4,"20-21/2",
IF(#REF!=5,"21-22/1",
IF(#REF!=6,"21-22/2",
IF(#REF!=7,"22-23/1",
IF(#REF!=8,"22-23/2","Hata2")))))))),
IF(#REF!+BM117=2020,
IF(#REF!=1,"20-21/1",
IF(#REF!=2,"20-21/2",
IF(#REF!=3,"21-22/1",
IF(#REF!=4,"21-22/2",
IF(#REF!=5,"22-23/1",
IF(#REF!=6,"22-23/2",
IF(#REF!=7,"23-24/1",
IF(#REF!=8,"23-24/2","Hata3")))))))),
IF(#REF!+BM117=2021,
IF(#REF!=1,"21-22/1",
IF(#REF!=2,"21-22/2",
IF(#REF!=3,"22-23/1",
IF(#REF!=4,"22-23/2",
IF(#REF!=5,"23-24/1",
IF(#REF!=6,"23-24/2",
IF(#REF!=7,"24-25/1",
IF(#REF!=8,"24-25/2","Hata4")))))))),
IF(#REF!+BM117=2022,
IF(#REF!=1,"22-23/1",
IF(#REF!=2,"22-23/2",
IF(#REF!=3,"23-24/1",
IF(#REF!=4,"23-24/2",
IF(#REF!=5,"24-25/1",
IF(#REF!=6,"24-25/2",
IF(#REF!=7,"25-26/1",
IF(#REF!=8,"25-26/2","Hata5")))))))),
IF(#REF!+BM117=2023,
IF(#REF!=1,"23-24/1",
IF(#REF!=2,"23-24/2",
IF(#REF!=3,"24-25/1",
IF(#REF!=4,"24-25/2",
IF(#REF!=5,"25-26/1",
IF(#REF!=6,"25-26/2",
IF(#REF!=7,"26-27/1",
IF(#REF!=8,"26-27/2","Hata6")))))))),
)))))),
IF(BE117="T",
IF(#REF!+BM117=2018,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7" s="1" t="s">
        <v>68</v>
      </c>
      <c r="J117" s="1">
        <v>4234788</v>
      </c>
      <c r="L117" s="2">
        <v>3577</v>
      </c>
      <c r="N117" s="2">
        <v>4</v>
      </c>
      <c r="O117" s="6">
        <f t="shared" si="42"/>
        <v>2</v>
      </c>
      <c r="P117" s="2">
        <f t="shared" si="43"/>
        <v>2</v>
      </c>
      <c r="Q117" s="2">
        <v>0</v>
      </c>
      <c r="R117" s="2">
        <v>0</v>
      </c>
      <c r="S117" s="2">
        <v>2</v>
      </c>
      <c r="X117" s="3">
        <v>2</v>
      </c>
      <c r="Y117" s="1">
        <f>VLOOKUP($X117,[5]ölçme_sistemleri!I$1:L$65536,2,FALSE)</f>
        <v>0</v>
      </c>
      <c r="Z117" s="1">
        <f>VLOOKUP($X117,[5]ölçme_sistemleri!I$1:L$65536,3,FALSE)</f>
        <v>2</v>
      </c>
      <c r="AA117" s="1">
        <f>VLOOKUP($X117,[5]ölçme_sistemleri!I$1:L$65536,4,FALSE)</f>
        <v>1</v>
      </c>
      <c r="AB117" s="1">
        <f>$O117*[5]ölçme_sistemleri!J$13</f>
        <v>2</v>
      </c>
      <c r="AC117" s="1">
        <f>$O117*[5]ölçme_sistemleri!K$13</f>
        <v>4</v>
      </c>
      <c r="AD117" s="1">
        <f>$O117*[5]ölçme_sistemleri!L$13</f>
        <v>6</v>
      </c>
      <c r="AE117" s="1">
        <f t="shared" si="44"/>
        <v>0</v>
      </c>
      <c r="AF117" s="1">
        <f t="shared" si="45"/>
        <v>8</v>
      </c>
      <c r="AG117" s="1">
        <f t="shared" si="46"/>
        <v>6</v>
      </c>
      <c r="AH117" s="1">
        <f t="shared" si="47"/>
        <v>14</v>
      </c>
      <c r="AI117" s="1">
        <v>14</v>
      </c>
      <c r="AJ117" s="1">
        <f>VLOOKUP(X117,[5]ölçme_sistemleri!I$1:M$65536,5,FALSE)</f>
        <v>2</v>
      </c>
      <c r="AK117" s="1">
        <f t="shared" si="48"/>
        <v>196</v>
      </c>
      <c r="AL117" s="1">
        <f>AI117*4</f>
        <v>56</v>
      </c>
      <c r="AM117" s="1">
        <f>VLOOKUP(X117,[5]ölçme_sistemleri!I$1:N$65536,6,FALSE)</f>
        <v>3</v>
      </c>
      <c r="AN117" s="1">
        <v>2</v>
      </c>
      <c r="AO117" s="1">
        <f t="shared" si="49"/>
        <v>6</v>
      </c>
      <c r="AP117" s="1">
        <v>14</v>
      </c>
      <c r="AQ117" s="1">
        <f t="shared" si="59"/>
        <v>28</v>
      </c>
      <c r="AR117" s="1">
        <f t="shared" si="50"/>
        <v>104</v>
      </c>
      <c r="AS117" s="1">
        <f>IF(BE117="s",25,30)</f>
        <v>25</v>
      </c>
      <c r="AT117" s="1">
        <f t="shared" si="51"/>
        <v>4</v>
      </c>
      <c r="AU117" s="1">
        <f t="shared" si="60"/>
        <v>0</v>
      </c>
      <c r="AV117" s="1">
        <f t="shared" si="73"/>
        <v>0</v>
      </c>
      <c r="AW117" s="1">
        <f t="shared" si="74"/>
        <v>0</v>
      </c>
      <c r="AX117" s="1">
        <f t="shared" si="75"/>
        <v>0</v>
      </c>
      <c r="AY117" s="1">
        <f t="shared" si="52"/>
        <v>-14</v>
      </c>
      <c r="AZ117" s="1">
        <f t="shared" si="76"/>
        <v>0</v>
      </c>
      <c r="BA117" s="1">
        <f t="shared" si="53"/>
        <v>-56</v>
      </c>
      <c r="BB117" s="1">
        <f t="shared" si="72"/>
        <v>0</v>
      </c>
      <c r="BC117" s="1">
        <f t="shared" si="55"/>
        <v>-6</v>
      </c>
      <c r="BD117" s="1">
        <f t="shared" si="56"/>
        <v>0</v>
      </c>
      <c r="BE117" s="1" t="s">
        <v>65</v>
      </c>
      <c r="BF117" s="1">
        <f t="shared" si="79"/>
        <v>28</v>
      </c>
      <c r="BG117" s="1">
        <f t="shared" si="80"/>
        <v>28</v>
      </c>
      <c r="BH117" s="1">
        <f t="shared" si="58"/>
        <v>1</v>
      </c>
      <c r="BI117" s="1" t="e">
        <f>IF(BH117-#REF!=0,"DOĞRU","YANLIŞ")</f>
        <v>#REF!</v>
      </c>
      <c r="BJ117" s="1" t="e">
        <f>#REF!-BH117</f>
        <v>#REF!</v>
      </c>
      <c r="BK117" s="1">
        <v>0</v>
      </c>
      <c r="BM117" s="1">
        <v>0</v>
      </c>
      <c r="BO117" s="1">
        <v>2</v>
      </c>
      <c r="BT117" s="8">
        <f t="shared" si="77"/>
        <v>0</v>
      </c>
      <c r="BU117" s="9"/>
      <c r="BV117" s="10"/>
      <c r="BW117" s="11"/>
      <c r="BX117" s="11"/>
      <c r="BY117" s="11"/>
      <c r="BZ117" s="11"/>
      <c r="CA117" s="11"/>
      <c r="CB117" s="12"/>
      <c r="CC117" s="13"/>
      <c r="CD117" s="14"/>
      <c r="CL117" s="11"/>
      <c r="CM117" s="11"/>
      <c r="CN117" s="11"/>
      <c r="CO117" s="11"/>
      <c r="CP117" s="11"/>
      <c r="CQ117" s="46"/>
      <c r="CR117" s="46"/>
      <c r="CS117" s="48"/>
      <c r="CT117" s="48"/>
      <c r="CU117" s="48"/>
      <c r="CV117" s="48"/>
      <c r="CW117" s="49"/>
      <c r="CX117" s="49"/>
    </row>
    <row r="118" spans="1:102" hidden="1" x14ac:dyDescent="0.25">
      <c r="A118" s="1" t="s">
        <v>71</v>
      </c>
      <c r="B118" s="1" t="s">
        <v>72</v>
      </c>
      <c r="C118" s="1" t="s">
        <v>72</v>
      </c>
      <c r="D118" s="2" t="s">
        <v>63</v>
      </c>
      <c r="E118" s="2" t="s">
        <v>63</v>
      </c>
      <c r="F118" s="3" t="e">
        <f>IF(BE118="S",
IF(#REF!+BM118=2018,
IF(#REF!=1,"18-19/1",
IF(#REF!=2,"18-19/2",
IF(#REF!=3,"19-20/1",
IF(#REF!=4,"19-20/2",
IF(#REF!=5,"20-21/1",
IF(#REF!=6,"20-21/2",
IF(#REF!=7,"21-22/1",
IF(#REF!=8,"21-22/2","Hata1")))))))),
IF(#REF!+BM118=2019,
IF(#REF!=1,"19-20/1",
IF(#REF!=2,"19-20/2",
IF(#REF!=3,"20-21/1",
IF(#REF!=4,"20-21/2",
IF(#REF!=5,"21-22/1",
IF(#REF!=6,"21-22/2",
IF(#REF!=7,"22-23/1",
IF(#REF!=8,"22-23/2","Hata2")))))))),
IF(#REF!+BM118=2020,
IF(#REF!=1,"20-21/1",
IF(#REF!=2,"20-21/2",
IF(#REF!=3,"21-22/1",
IF(#REF!=4,"21-22/2",
IF(#REF!=5,"22-23/1",
IF(#REF!=6,"22-23/2",
IF(#REF!=7,"23-24/1",
IF(#REF!=8,"23-24/2","Hata3")))))))),
IF(#REF!+BM118=2021,
IF(#REF!=1,"21-22/1",
IF(#REF!=2,"21-22/2",
IF(#REF!=3,"22-23/1",
IF(#REF!=4,"22-23/2",
IF(#REF!=5,"23-24/1",
IF(#REF!=6,"23-24/2",
IF(#REF!=7,"24-25/1",
IF(#REF!=8,"24-25/2","Hata4")))))))),
IF(#REF!+BM118=2022,
IF(#REF!=1,"22-23/1",
IF(#REF!=2,"22-23/2",
IF(#REF!=3,"23-24/1",
IF(#REF!=4,"23-24/2",
IF(#REF!=5,"24-25/1",
IF(#REF!=6,"24-25/2",
IF(#REF!=7,"25-26/1",
IF(#REF!=8,"25-26/2","Hata5")))))))),
IF(#REF!+BM118=2023,
IF(#REF!=1,"23-24/1",
IF(#REF!=2,"23-24/2",
IF(#REF!=3,"24-25/1",
IF(#REF!=4,"24-25/2",
IF(#REF!=5,"25-26/1",
IF(#REF!=6,"25-26/2",
IF(#REF!=7,"26-27/1",
IF(#REF!=8,"26-27/2","Hata6")))))))),
)))))),
IF(BE118="T",
IF(#REF!+BM118=2018,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8" s="1" t="s">
        <v>68</v>
      </c>
      <c r="J118" s="1">
        <v>4234788</v>
      </c>
      <c r="L118" s="2">
        <v>3434</v>
      </c>
      <c r="N118" s="2">
        <v>3</v>
      </c>
      <c r="O118" s="6">
        <f t="shared" si="42"/>
        <v>2</v>
      </c>
      <c r="P118" s="2">
        <f t="shared" si="43"/>
        <v>2</v>
      </c>
      <c r="Q118" s="2">
        <v>2</v>
      </c>
      <c r="R118" s="2">
        <v>0</v>
      </c>
      <c r="S118" s="2">
        <v>0</v>
      </c>
      <c r="X118" s="3">
        <v>4</v>
      </c>
      <c r="Y118" s="1">
        <f>VLOOKUP(X118,[16]ölçme_sistemleri!I:L,2,FALSE)</f>
        <v>0</v>
      </c>
      <c r="Z118" s="1">
        <f>VLOOKUP(X118,[16]ölçme_sistemleri!I:L,3,FALSE)</f>
        <v>1</v>
      </c>
      <c r="AA118" s="1">
        <f>VLOOKUP(X118,[16]ölçme_sistemleri!I:L,4,FALSE)</f>
        <v>1</v>
      </c>
      <c r="AB118" s="1">
        <f>$O118*[16]ölçme_sistemleri!J$13</f>
        <v>2</v>
      </c>
      <c r="AC118" s="1">
        <f>$O118*[16]ölçme_sistemleri!K$13</f>
        <v>4</v>
      </c>
      <c r="AD118" s="1">
        <f>$O118*[16]ölçme_sistemleri!L$13</f>
        <v>6</v>
      </c>
      <c r="AE118" s="1">
        <f t="shared" si="44"/>
        <v>0</v>
      </c>
      <c r="AF118" s="1">
        <f t="shared" si="45"/>
        <v>4</v>
      </c>
      <c r="AG118" s="1">
        <f t="shared" si="46"/>
        <v>6</v>
      </c>
      <c r="AH118" s="1">
        <f t="shared" si="47"/>
        <v>10</v>
      </c>
      <c r="AI118" s="1">
        <v>14</v>
      </c>
      <c r="AJ118" s="1">
        <f>VLOOKUP(X118,[16]ölçme_sistemleri!I:M,5,FALSE)</f>
        <v>1</v>
      </c>
      <c r="AK118" s="1">
        <f t="shared" si="48"/>
        <v>140</v>
      </c>
      <c r="AL118" s="1">
        <f>(Q118+S118)*AI118</f>
        <v>28</v>
      </c>
      <c r="AM118" s="1">
        <f>VLOOKUP(X118,[16]ölçme_sistemleri!I:N,6,FALSE)</f>
        <v>2</v>
      </c>
      <c r="AN118" s="1">
        <v>2</v>
      </c>
      <c r="AO118" s="1">
        <f t="shared" si="49"/>
        <v>4</v>
      </c>
      <c r="AP118" s="1">
        <v>14</v>
      </c>
      <c r="AQ118" s="1">
        <f t="shared" si="59"/>
        <v>28</v>
      </c>
      <c r="AR118" s="1">
        <f t="shared" si="50"/>
        <v>70</v>
      </c>
      <c r="AS118" s="1">
        <v>25</v>
      </c>
      <c r="AT118" s="1">
        <f t="shared" si="51"/>
        <v>3</v>
      </c>
      <c r="AU118" s="1">
        <f t="shared" si="60"/>
        <v>0</v>
      </c>
      <c r="AV118" s="1">
        <f t="shared" si="73"/>
        <v>0</v>
      </c>
      <c r="AW118" s="1">
        <f t="shared" si="74"/>
        <v>0</v>
      </c>
      <c r="AX118" s="1">
        <f t="shared" si="75"/>
        <v>0</v>
      </c>
      <c r="AY118" s="1">
        <f t="shared" si="52"/>
        <v>-10</v>
      </c>
      <c r="AZ118" s="1">
        <f t="shared" si="76"/>
        <v>0</v>
      </c>
      <c r="BA118" s="1">
        <f t="shared" si="53"/>
        <v>-28</v>
      </c>
      <c r="BB118" s="1">
        <f t="shared" si="72"/>
        <v>0</v>
      </c>
      <c r="BC118" s="1">
        <f t="shared" si="55"/>
        <v>-4</v>
      </c>
      <c r="BD118" s="1">
        <f t="shared" si="56"/>
        <v>0</v>
      </c>
      <c r="BE118" s="1" t="s">
        <v>65</v>
      </c>
      <c r="BF118" s="1">
        <f t="shared" si="79"/>
        <v>28</v>
      </c>
      <c r="BG118" s="1">
        <f t="shared" si="80"/>
        <v>28</v>
      </c>
      <c r="BH118" s="1">
        <f t="shared" si="58"/>
        <v>1</v>
      </c>
      <c r="BI118" s="1" t="e">
        <f>IF(BH118-#REF!=0,"DOĞRU","YANLIŞ")</f>
        <v>#REF!</v>
      </c>
      <c r="BJ118" s="1" t="e">
        <f>#REF!-BH118</f>
        <v>#REF!</v>
      </c>
      <c r="BK118" s="1">
        <v>1</v>
      </c>
      <c r="BM118" s="1">
        <v>0</v>
      </c>
      <c r="BO118" s="1">
        <v>3</v>
      </c>
      <c r="BT118" s="8">
        <f t="shared" si="77"/>
        <v>0</v>
      </c>
      <c r="BU118" s="9"/>
      <c r="BV118" s="10"/>
      <c r="BW118" s="11"/>
      <c r="BX118" s="11"/>
      <c r="BY118" s="11"/>
      <c r="BZ118" s="11"/>
      <c r="CA118" s="11"/>
      <c r="CB118" s="12"/>
      <c r="CC118" s="13"/>
      <c r="CD118" s="14"/>
      <c r="CL118" s="11"/>
      <c r="CM118" s="11"/>
      <c r="CN118" s="11"/>
      <c r="CO118" s="11"/>
      <c r="CP118" s="11"/>
      <c r="CQ118" s="46"/>
      <c r="CR118" s="46"/>
      <c r="CS118" s="48"/>
      <c r="CT118" s="48"/>
      <c r="CU118" s="48"/>
      <c r="CV118" s="48"/>
      <c r="CW118" s="49"/>
      <c r="CX118" s="49"/>
    </row>
    <row r="119" spans="1:102" x14ac:dyDescent="0.25">
      <c r="A119" s="112" t="s">
        <v>133</v>
      </c>
      <c r="B119" s="112" t="s">
        <v>134</v>
      </c>
      <c r="C119" s="1" t="s">
        <v>134</v>
      </c>
      <c r="D119" s="2" t="s">
        <v>63</v>
      </c>
      <c r="E119" s="2" t="s">
        <v>63</v>
      </c>
      <c r="F119" s="3" t="e">
        <f>IF(BE119="S",
IF(#REF!+BM119=2018,
IF(#REF!=1,"18-19/1",
IF(#REF!=2,"18-19/2",
IF(#REF!=3,"19-20/1",
IF(#REF!=4,"19-20/2",
IF(#REF!=5,"20-21/1",
IF(#REF!=6,"20-21/2",
IF(#REF!=7,"21-22/1",
IF(#REF!=8,"21-22/2","Hata1")))))))),
IF(#REF!+BM119=2019,
IF(#REF!=1,"19-20/1",
IF(#REF!=2,"19-20/2",
IF(#REF!=3,"20-21/1",
IF(#REF!=4,"20-21/2",
IF(#REF!=5,"21-22/1",
IF(#REF!=6,"21-22/2",
IF(#REF!=7,"22-23/1",
IF(#REF!=8,"22-23/2","Hata2")))))))),
IF(#REF!+BM119=2020,
IF(#REF!=1,"20-21/1",
IF(#REF!=2,"20-21/2",
IF(#REF!=3,"21-22/1",
IF(#REF!=4,"21-22/2",
IF(#REF!=5,"22-23/1",
IF(#REF!=6,"22-23/2",
IF(#REF!=7,"23-24/1",
IF(#REF!=8,"23-24/2","Hata3")))))))),
IF(#REF!+BM119=2021,
IF(#REF!=1,"21-22/1",
IF(#REF!=2,"21-22/2",
IF(#REF!=3,"22-23/1",
IF(#REF!=4,"22-23/2",
IF(#REF!=5,"23-24/1",
IF(#REF!=6,"23-24/2",
IF(#REF!=7,"24-25/1",
IF(#REF!=8,"24-25/2","Hata4")))))))),
IF(#REF!+BM119=2022,
IF(#REF!=1,"22-23/1",
IF(#REF!=2,"22-23/2",
IF(#REF!=3,"23-24/1",
IF(#REF!=4,"23-24/2",
IF(#REF!=5,"24-25/1",
IF(#REF!=6,"24-25/2",
IF(#REF!=7,"25-26/1",
IF(#REF!=8,"25-26/2","Hata5")))))))),
IF(#REF!+BM119=2023,
IF(#REF!=1,"23-24/1",
IF(#REF!=2,"23-24/2",
IF(#REF!=3,"24-25/1",
IF(#REF!=4,"24-25/2",
IF(#REF!=5,"25-26/1",
IF(#REF!=6,"25-26/2",
IF(#REF!=7,"26-27/1",
IF(#REF!=8,"26-27/2","Hata6")))))))),
)))))),
IF(BE119="T",
IF(#REF!+BM119=2018,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IF(#REF!+BM119=2019,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IF(#REF!+BM119=2020,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IF(#REF!+BM119=2021,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IF(#REF!+BM119=2022,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IF(#REF!+BM119=2023,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19" s="112" t="s">
        <v>68</v>
      </c>
      <c r="J119" s="1">
        <v>4234788</v>
      </c>
      <c r="L119" s="2">
        <v>3396</v>
      </c>
      <c r="N119" s="113">
        <v>8</v>
      </c>
      <c r="O119" s="89">
        <f t="shared" si="42"/>
        <v>6</v>
      </c>
      <c r="P119" s="2">
        <f t="shared" si="43"/>
        <v>6</v>
      </c>
      <c r="Q119" s="2">
        <v>4</v>
      </c>
      <c r="R119" s="2">
        <v>0</v>
      </c>
      <c r="S119" s="2">
        <v>2</v>
      </c>
      <c r="X119" s="90">
        <v>4</v>
      </c>
      <c r="Y119" s="1">
        <f>VLOOKUP(X119,[16]ölçme_sistemleri!I:L,2,FALSE)</f>
        <v>0</v>
      </c>
      <c r="Z119" s="1">
        <f>VLOOKUP(X119,[16]ölçme_sistemleri!I:L,3,FALSE)</f>
        <v>1</v>
      </c>
      <c r="AA119" s="1">
        <f>VLOOKUP(X119,[16]ölçme_sistemleri!I:L,4,FALSE)</f>
        <v>1</v>
      </c>
      <c r="AB119" s="1">
        <f>$O119*[16]ölçme_sistemleri!J$13</f>
        <v>6</v>
      </c>
      <c r="AC119" s="1">
        <f>$O119*[16]ölçme_sistemleri!K$13</f>
        <v>12</v>
      </c>
      <c r="AD119" s="1">
        <f>$O119*[16]ölçme_sistemleri!L$13</f>
        <v>18</v>
      </c>
      <c r="AE119" s="1">
        <f t="shared" si="44"/>
        <v>0</v>
      </c>
      <c r="AF119" s="1">
        <f t="shared" si="45"/>
        <v>12</v>
      </c>
      <c r="AG119" s="1">
        <f t="shared" si="46"/>
        <v>18</v>
      </c>
      <c r="AH119" s="1">
        <f t="shared" si="47"/>
        <v>30</v>
      </c>
      <c r="AI119" s="1">
        <v>14</v>
      </c>
      <c r="AJ119" s="1">
        <f>VLOOKUP(X119,[16]ölçme_sistemleri!I:M,5,FALSE)</f>
        <v>1</v>
      </c>
      <c r="AK119" s="1">
        <f t="shared" si="48"/>
        <v>420</v>
      </c>
      <c r="AL119" s="1">
        <f>(Q119+S119)*AI119</f>
        <v>84</v>
      </c>
      <c r="AM119" s="1">
        <f>VLOOKUP(X119,[16]ölçme_sistemleri!I:N,6,FALSE)</f>
        <v>2</v>
      </c>
      <c r="AN119" s="1">
        <v>2</v>
      </c>
      <c r="AO119" s="1">
        <f t="shared" si="49"/>
        <v>4</v>
      </c>
      <c r="AP119" s="1">
        <v>14</v>
      </c>
      <c r="AQ119" s="1">
        <f t="shared" si="59"/>
        <v>84</v>
      </c>
      <c r="AR119" s="1">
        <f t="shared" si="50"/>
        <v>202</v>
      </c>
      <c r="AS119" s="1">
        <v>25</v>
      </c>
      <c r="AT119" s="1">
        <f t="shared" si="51"/>
        <v>8</v>
      </c>
      <c r="AU119" s="1">
        <f t="shared" si="60"/>
        <v>0</v>
      </c>
      <c r="AV119" s="1">
        <f t="shared" si="73"/>
        <v>0</v>
      </c>
      <c r="AW119" s="1">
        <f t="shared" si="74"/>
        <v>0</v>
      </c>
      <c r="AX119" s="1">
        <f t="shared" si="75"/>
        <v>0</v>
      </c>
      <c r="AY119" s="1">
        <f t="shared" si="52"/>
        <v>-30</v>
      </c>
      <c r="AZ119" s="1">
        <f t="shared" si="76"/>
        <v>0</v>
      </c>
      <c r="BA119" s="1">
        <f t="shared" si="53"/>
        <v>-84</v>
      </c>
      <c r="BB119" s="1">
        <f t="shared" si="72"/>
        <v>0</v>
      </c>
      <c r="BC119" s="1">
        <f t="shared" si="55"/>
        <v>-4</v>
      </c>
      <c r="BD119" s="1">
        <f t="shared" si="56"/>
        <v>0</v>
      </c>
      <c r="BE119" s="1" t="s">
        <v>65</v>
      </c>
      <c r="BF119" s="1">
        <f t="shared" si="79"/>
        <v>84</v>
      </c>
      <c r="BG119" s="1">
        <f t="shared" si="80"/>
        <v>84</v>
      </c>
      <c r="BH119" s="1">
        <f t="shared" si="58"/>
        <v>3</v>
      </c>
      <c r="BI119" s="1" t="e">
        <f>IF(BH119-#REF!=0,"DOĞRU","YANLIŞ")</f>
        <v>#REF!</v>
      </c>
      <c r="BJ119" s="1" t="e">
        <f>#REF!-BH119</f>
        <v>#REF!</v>
      </c>
      <c r="BK119" s="1">
        <v>1</v>
      </c>
      <c r="BM119" s="1">
        <v>0</v>
      </c>
      <c r="BO119" s="1">
        <v>4</v>
      </c>
      <c r="BT119" s="8">
        <f t="shared" si="77"/>
        <v>0</v>
      </c>
      <c r="BU119" s="9"/>
      <c r="BV119" s="10"/>
      <c r="BW119" s="11"/>
      <c r="BX119" s="11"/>
      <c r="BY119" s="11"/>
      <c r="BZ119" s="11"/>
      <c r="CA119" s="11"/>
      <c r="CB119" s="12"/>
      <c r="CC119" s="13"/>
      <c r="CD119" s="14"/>
      <c r="CL119" s="114"/>
      <c r="CM119" s="114"/>
      <c r="CN119" s="114"/>
      <c r="CO119" s="114"/>
      <c r="CP119" s="114" t="s">
        <v>442</v>
      </c>
      <c r="CQ119" s="111">
        <v>44324</v>
      </c>
      <c r="CR119" s="114" t="s">
        <v>529</v>
      </c>
      <c r="CS119" s="85"/>
      <c r="CT119" s="91"/>
      <c r="CU119" s="48"/>
      <c r="CV119" s="48"/>
      <c r="CW119" s="49"/>
      <c r="CX119" s="49"/>
    </row>
    <row r="120" spans="1:102" x14ac:dyDescent="0.25">
      <c r="A120" s="88" t="s">
        <v>195</v>
      </c>
      <c r="B120" s="88" t="s">
        <v>143</v>
      </c>
      <c r="C120" s="1" t="s">
        <v>143</v>
      </c>
      <c r="D120" s="2" t="s">
        <v>63</v>
      </c>
      <c r="E120" s="2" t="s">
        <v>63</v>
      </c>
      <c r="F120" s="3" t="e">
        <f>IF(BE120="S",
IF(#REF!+BM120=2018,
IF(#REF!=1,"18-19/1",
IF(#REF!=2,"18-19/2",
IF(#REF!=3,"19-20/1",
IF(#REF!=4,"19-20/2",
IF(#REF!=5,"20-21/1",
IF(#REF!=6,"20-21/2",
IF(#REF!=7,"21-22/1",
IF(#REF!=8,"21-22/2","Hata1")))))))),
IF(#REF!+BM120=2019,
IF(#REF!=1,"19-20/1",
IF(#REF!=2,"19-20/2",
IF(#REF!=3,"20-21/1",
IF(#REF!=4,"20-21/2",
IF(#REF!=5,"21-22/1",
IF(#REF!=6,"21-22/2",
IF(#REF!=7,"22-23/1",
IF(#REF!=8,"22-23/2","Hata2")))))))),
IF(#REF!+BM120=2020,
IF(#REF!=1,"20-21/1",
IF(#REF!=2,"20-21/2",
IF(#REF!=3,"21-22/1",
IF(#REF!=4,"21-22/2",
IF(#REF!=5,"22-23/1",
IF(#REF!=6,"22-23/2",
IF(#REF!=7,"23-24/1",
IF(#REF!=8,"23-24/2","Hata3")))))))),
IF(#REF!+BM120=2021,
IF(#REF!=1,"21-22/1",
IF(#REF!=2,"21-22/2",
IF(#REF!=3,"22-23/1",
IF(#REF!=4,"22-23/2",
IF(#REF!=5,"23-24/1",
IF(#REF!=6,"23-24/2",
IF(#REF!=7,"24-25/1",
IF(#REF!=8,"24-25/2","Hata4")))))))),
IF(#REF!+BM120=2022,
IF(#REF!=1,"22-23/1",
IF(#REF!=2,"22-23/2",
IF(#REF!=3,"23-24/1",
IF(#REF!=4,"23-24/2",
IF(#REF!=5,"24-25/1",
IF(#REF!=6,"24-25/2",
IF(#REF!=7,"25-26/1",
IF(#REF!=8,"25-26/2","Hata5")))))))),
IF(#REF!+BM120=2023,
IF(#REF!=1,"23-24/1",
IF(#REF!=2,"23-24/2",
IF(#REF!=3,"24-25/1",
IF(#REF!=4,"24-25/2",
IF(#REF!=5,"25-26/1",
IF(#REF!=6,"25-26/2",
IF(#REF!=7,"26-27/1",
IF(#REF!=8,"26-27/2","Hata6")))))))),
)))))),
IF(BE120="T",
IF(#REF!+BM120=2018,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0" s="88" t="s">
        <v>68</v>
      </c>
      <c r="J120" s="1">
        <v>4234788</v>
      </c>
      <c r="L120" s="2">
        <v>3405</v>
      </c>
      <c r="N120" s="87">
        <v>8</v>
      </c>
      <c r="O120" s="89">
        <f t="shared" si="42"/>
        <v>6</v>
      </c>
      <c r="P120" s="2">
        <f t="shared" si="43"/>
        <v>6</v>
      </c>
      <c r="Q120" s="2">
        <v>4</v>
      </c>
      <c r="R120" s="2">
        <v>0</v>
      </c>
      <c r="S120" s="2">
        <v>2</v>
      </c>
      <c r="X120" s="90">
        <v>4</v>
      </c>
      <c r="Y120" s="1">
        <f>VLOOKUP(X120,[15]ölçme_sistemleri!I:L,2,FALSE)</f>
        <v>0</v>
      </c>
      <c r="Z120" s="1">
        <f>VLOOKUP(X120,[15]ölçme_sistemleri!I:L,3,FALSE)</f>
        <v>1</v>
      </c>
      <c r="AA120" s="1">
        <f>VLOOKUP(X120,[15]ölçme_sistemleri!I:L,4,FALSE)</f>
        <v>1</v>
      </c>
      <c r="AB120" s="1">
        <f>$O120*[15]ölçme_sistemleri!J$13</f>
        <v>6</v>
      </c>
      <c r="AC120" s="1">
        <f>$O120*[15]ölçme_sistemleri!K$13</f>
        <v>12</v>
      </c>
      <c r="AD120" s="1">
        <f>$O120*[15]ölçme_sistemleri!L$13</f>
        <v>18</v>
      </c>
      <c r="AE120" s="1">
        <f t="shared" si="44"/>
        <v>0</v>
      </c>
      <c r="AF120" s="1">
        <f t="shared" si="45"/>
        <v>12</v>
      </c>
      <c r="AG120" s="1">
        <f t="shared" si="46"/>
        <v>18</v>
      </c>
      <c r="AH120" s="1">
        <f t="shared" si="47"/>
        <v>30</v>
      </c>
      <c r="AI120" s="1">
        <v>14</v>
      </c>
      <c r="AJ120" s="1">
        <f>VLOOKUP(X120,[15]ölçme_sistemleri!I:M,5,FALSE)</f>
        <v>1</v>
      </c>
      <c r="AK120" s="1">
        <f t="shared" si="48"/>
        <v>420</v>
      </c>
      <c r="AL120" s="1">
        <f>(Q120+S120)*AI120</f>
        <v>84</v>
      </c>
      <c r="AM120" s="1">
        <f>VLOOKUP(X120,[15]ölçme_sistemleri!I:N,6,FALSE)</f>
        <v>2</v>
      </c>
      <c r="AN120" s="1">
        <v>2</v>
      </c>
      <c r="AO120" s="1">
        <f t="shared" si="49"/>
        <v>4</v>
      </c>
      <c r="AP120" s="1">
        <v>14</v>
      </c>
      <c r="AQ120" s="1">
        <f t="shared" si="59"/>
        <v>84</v>
      </c>
      <c r="AR120" s="1">
        <f t="shared" si="50"/>
        <v>202</v>
      </c>
      <c r="AS120" s="1">
        <v>25</v>
      </c>
      <c r="AT120" s="1">
        <f t="shared" si="51"/>
        <v>8</v>
      </c>
      <c r="AU120" s="1">
        <f t="shared" si="60"/>
        <v>0</v>
      </c>
      <c r="AV120" s="1">
        <f t="shared" si="73"/>
        <v>0</v>
      </c>
      <c r="AW120" s="1">
        <f t="shared" si="74"/>
        <v>0</v>
      </c>
      <c r="AX120" s="1">
        <f t="shared" si="75"/>
        <v>0</v>
      </c>
      <c r="AY120" s="1">
        <f t="shared" si="52"/>
        <v>-30</v>
      </c>
      <c r="AZ120" s="1">
        <f t="shared" si="76"/>
        <v>0</v>
      </c>
      <c r="BA120" s="1">
        <f t="shared" si="53"/>
        <v>-84</v>
      </c>
      <c r="BB120" s="1">
        <f t="shared" si="72"/>
        <v>0</v>
      </c>
      <c r="BC120" s="1">
        <f t="shared" si="55"/>
        <v>-4</v>
      </c>
      <c r="BD120" s="1">
        <f t="shared" si="56"/>
        <v>0</v>
      </c>
      <c r="BE120" s="1" t="s">
        <v>65</v>
      </c>
      <c r="BF120" s="1">
        <f t="shared" si="79"/>
        <v>84</v>
      </c>
      <c r="BG120" s="1">
        <f t="shared" si="80"/>
        <v>84</v>
      </c>
      <c r="BH120" s="1">
        <f t="shared" si="58"/>
        <v>3</v>
      </c>
      <c r="BI120" s="1" t="e">
        <f>IF(BH120-#REF!=0,"DOĞRU","YANLIŞ")</f>
        <v>#REF!</v>
      </c>
      <c r="BJ120" s="1" t="e">
        <f>#REF!-BH120</f>
        <v>#REF!</v>
      </c>
      <c r="BK120" s="1">
        <v>1</v>
      </c>
      <c r="BM120" s="1">
        <v>0</v>
      </c>
      <c r="BO120" s="1">
        <v>2</v>
      </c>
      <c r="BT120" s="8">
        <f t="shared" si="77"/>
        <v>0</v>
      </c>
      <c r="BU120" s="9"/>
      <c r="BV120" s="10"/>
      <c r="BW120" s="11"/>
      <c r="BX120" s="11"/>
      <c r="BY120" s="11"/>
      <c r="BZ120" s="11"/>
      <c r="CA120" s="11"/>
      <c r="CB120" s="12"/>
      <c r="CC120" s="13"/>
      <c r="CD120" s="14"/>
      <c r="CL120" s="82"/>
      <c r="CM120" s="82"/>
      <c r="CN120" s="82"/>
      <c r="CO120" s="82"/>
      <c r="CP120" s="82" t="s">
        <v>442</v>
      </c>
      <c r="CQ120" s="85">
        <v>44324</v>
      </c>
      <c r="CR120" s="83" t="s">
        <v>529</v>
      </c>
      <c r="CS120" s="91"/>
      <c r="CT120" s="91"/>
      <c r="CU120" s="48"/>
      <c r="CV120" s="48"/>
      <c r="CW120" s="49"/>
      <c r="CX120" s="49"/>
    </row>
    <row r="121" spans="1:102" hidden="1" x14ac:dyDescent="0.25">
      <c r="A121" s="1" t="s">
        <v>79</v>
      </c>
      <c r="B121" s="1" t="s">
        <v>80</v>
      </c>
      <c r="C121" s="1" t="s">
        <v>80</v>
      </c>
      <c r="D121" s="2" t="s">
        <v>58</v>
      </c>
      <c r="E121" s="2" t="s">
        <v>58</v>
      </c>
      <c r="F121" s="3" t="e">
        <f>IF(BE121="S",
IF(#REF!+BM121=2018,
IF(#REF!=1,"18-19/1",
IF(#REF!=2,"18-19/2",
IF(#REF!=3,"19-20/1",
IF(#REF!=4,"19-20/2",
IF(#REF!=5,"20-21/1",
IF(#REF!=6,"20-21/2",
IF(#REF!=7,"21-22/1",
IF(#REF!=8,"21-22/2","Hata1")))))))),
IF(#REF!+BM121=2019,
IF(#REF!=1,"19-20/1",
IF(#REF!=2,"19-20/2",
IF(#REF!=3,"20-21/1",
IF(#REF!=4,"20-21/2",
IF(#REF!=5,"21-22/1",
IF(#REF!=6,"21-22/2",
IF(#REF!=7,"22-23/1",
IF(#REF!=8,"22-23/2","Hata2")))))))),
IF(#REF!+BM121=2020,
IF(#REF!=1,"20-21/1",
IF(#REF!=2,"20-21/2",
IF(#REF!=3,"21-22/1",
IF(#REF!=4,"21-22/2",
IF(#REF!=5,"22-23/1",
IF(#REF!=6,"22-23/2",
IF(#REF!=7,"23-24/1",
IF(#REF!=8,"23-24/2","Hata3")))))))),
IF(#REF!+BM121=2021,
IF(#REF!=1,"21-22/1",
IF(#REF!=2,"21-22/2",
IF(#REF!=3,"22-23/1",
IF(#REF!=4,"22-23/2",
IF(#REF!=5,"23-24/1",
IF(#REF!=6,"23-24/2",
IF(#REF!=7,"24-25/1",
IF(#REF!=8,"24-25/2","Hata4")))))))),
IF(#REF!+BM121=2022,
IF(#REF!=1,"22-23/1",
IF(#REF!=2,"22-23/2",
IF(#REF!=3,"23-24/1",
IF(#REF!=4,"23-24/2",
IF(#REF!=5,"24-25/1",
IF(#REF!=6,"24-25/2",
IF(#REF!=7,"25-26/1",
IF(#REF!=8,"25-26/2","Hata5")))))))),
IF(#REF!+BM121=2023,
IF(#REF!=1,"23-24/1",
IF(#REF!=2,"23-24/2",
IF(#REF!=3,"24-25/1",
IF(#REF!=4,"24-25/2",
IF(#REF!=5,"25-26/1",
IF(#REF!=6,"25-26/2",
IF(#REF!=7,"26-27/1",
IF(#REF!=8,"26-27/2","Hata6")))))))),
)))))),
IF(BE121="T",
IF(#REF!+BM121=2018,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1" s="1" t="s">
        <v>68</v>
      </c>
      <c r="J121" s="1">
        <v>4234788</v>
      </c>
      <c r="L121" s="2">
        <v>3401</v>
      </c>
      <c r="N121" s="2">
        <v>4</v>
      </c>
      <c r="O121" s="6">
        <f t="shared" si="42"/>
        <v>2</v>
      </c>
      <c r="P121" s="2">
        <f t="shared" si="43"/>
        <v>2</v>
      </c>
      <c r="Q121" s="2">
        <v>2</v>
      </c>
      <c r="R121" s="2">
        <v>0</v>
      </c>
      <c r="S121" s="2">
        <v>0</v>
      </c>
      <c r="X121" s="3">
        <v>4</v>
      </c>
      <c r="Y121" s="1">
        <f>VLOOKUP(X121,[15]ölçme_sistemleri!I:L,2,FALSE)</f>
        <v>0</v>
      </c>
      <c r="Z121" s="1">
        <f>VLOOKUP(X121,[15]ölçme_sistemleri!I:L,3,FALSE)</f>
        <v>1</v>
      </c>
      <c r="AA121" s="1">
        <f>VLOOKUP(X121,[15]ölçme_sistemleri!I:L,4,FALSE)</f>
        <v>1</v>
      </c>
      <c r="AB121" s="1">
        <f>$O121*[15]ölçme_sistemleri!J$13</f>
        <v>2</v>
      </c>
      <c r="AC121" s="1">
        <f>$O121*[15]ölçme_sistemleri!K$13</f>
        <v>4</v>
      </c>
      <c r="AD121" s="1">
        <f>$O121*[15]ölçme_sistemleri!L$13</f>
        <v>6</v>
      </c>
      <c r="AE121" s="1">
        <f t="shared" si="44"/>
        <v>0</v>
      </c>
      <c r="AF121" s="1">
        <f t="shared" si="45"/>
        <v>4</v>
      </c>
      <c r="AG121" s="1">
        <f t="shared" si="46"/>
        <v>6</v>
      </c>
      <c r="AH121" s="1">
        <f t="shared" si="47"/>
        <v>10</v>
      </c>
      <c r="AI121" s="1">
        <v>14</v>
      </c>
      <c r="AJ121" s="1">
        <f>VLOOKUP(X121,[15]ölçme_sistemleri!I:M,5,FALSE)</f>
        <v>1</v>
      </c>
      <c r="AK121" s="1">
        <f t="shared" si="48"/>
        <v>140</v>
      </c>
      <c r="AL121" s="1">
        <f>((Q121+S121)*AI121)*2</f>
        <v>56</v>
      </c>
      <c r="AM121" s="1">
        <f>VLOOKUP(X121,[15]ölçme_sistemleri!I:N,6,FALSE)</f>
        <v>2</v>
      </c>
      <c r="AN121" s="1">
        <v>2</v>
      </c>
      <c r="AO121" s="1">
        <f t="shared" si="49"/>
        <v>4</v>
      </c>
      <c r="AP121" s="1">
        <v>14</v>
      </c>
      <c r="AQ121" s="1">
        <f t="shared" si="59"/>
        <v>28</v>
      </c>
      <c r="AR121" s="1">
        <f t="shared" si="50"/>
        <v>98</v>
      </c>
      <c r="AS121" s="1">
        <v>25</v>
      </c>
      <c r="AT121" s="1">
        <f t="shared" si="51"/>
        <v>4</v>
      </c>
      <c r="AU121" s="1">
        <f t="shared" si="60"/>
        <v>0</v>
      </c>
      <c r="AV121" s="1">
        <f t="shared" si="73"/>
        <v>0</v>
      </c>
      <c r="AW121" s="1">
        <f t="shared" si="74"/>
        <v>0</v>
      </c>
      <c r="AX121" s="1">
        <f t="shared" si="75"/>
        <v>0</v>
      </c>
      <c r="AY121" s="1">
        <f t="shared" si="52"/>
        <v>-10</v>
      </c>
      <c r="AZ121" s="1">
        <f t="shared" si="76"/>
        <v>0</v>
      </c>
      <c r="BA121" s="1">
        <f t="shared" si="53"/>
        <v>-56</v>
      </c>
      <c r="BB121" s="1">
        <f t="shared" si="72"/>
        <v>0</v>
      </c>
      <c r="BC121" s="1">
        <f t="shared" si="55"/>
        <v>-4</v>
      </c>
      <c r="BD121" s="1">
        <f t="shared" si="56"/>
        <v>0</v>
      </c>
      <c r="BE121" s="1" t="s">
        <v>65</v>
      </c>
      <c r="BF121" s="1">
        <f>IF(BM121="A",0,IF(BE121="s",14*O121,IF(BE121="T",11*O121,"HATA")))</f>
        <v>28</v>
      </c>
      <c r="BG121" s="1">
        <f>IF(BM121="Z",(BF121+BD121)*1.15,(BF121+BD121))</f>
        <v>28</v>
      </c>
      <c r="BH121" s="1">
        <f t="shared" si="58"/>
        <v>1</v>
      </c>
      <c r="BI121" s="1" t="e">
        <f>IF(BH121-#REF!=0,"DOĞRU","YANLIŞ")</f>
        <v>#REF!</v>
      </c>
      <c r="BJ121" s="1" t="e">
        <f>#REF!-BH121</f>
        <v>#REF!</v>
      </c>
      <c r="BK121" s="1">
        <v>0</v>
      </c>
      <c r="BM121" s="1">
        <v>0</v>
      </c>
      <c r="BO121" s="1">
        <v>2</v>
      </c>
      <c r="BT121" s="8">
        <f t="shared" si="77"/>
        <v>0</v>
      </c>
      <c r="BU121" s="9"/>
      <c r="BV121" s="10"/>
      <c r="BW121" s="11"/>
      <c r="BX121" s="11"/>
      <c r="BY121" s="11"/>
      <c r="BZ121" s="11"/>
      <c r="CA121" s="11"/>
      <c r="CB121" s="12"/>
      <c r="CC121" s="13"/>
      <c r="CD121" s="14"/>
      <c r="CL121" s="11"/>
      <c r="CM121" s="11"/>
      <c r="CN121" s="11"/>
      <c r="CO121" s="11"/>
      <c r="CP121" s="11"/>
      <c r="CQ121" s="46"/>
      <c r="CR121" s="46"/>
      <c r="CS121" s="48"/>
      <c r="CT121" s="48"/>
      <c r="CU121" s="48"/>
      <c r="CV121" s="48"/>
      <c r="CW121" s="49"/>
      <c r="CX121" s="49"/>
    </row>
    <row r="122" spans="1:102" hidden="1" x14ac:dyDescent="0.25">
      <c r="A122" s="1" t="s">
        <v>66</v>
      </c>
      <c r="B122" s="1" t="s">
        <v>67</v>
      </c>
      <c r="C122" s="1" t="s">
        <v>67</v>
      </c>
      <c r="D122" s="2" t="s">
        <v>63</v>
      </c>
      <c r="E122" s="2" t="s">
        <v>63</v>
      </c>
      <c r="F122" s="3" t="e">
        <f>IF(BE122="S",
IF(#REF!+BM122=2018,
IF(#REF!=1,"18-19/1",
IF(#REF!=2,"18-19/2",
IF(#REF!=3,"19-20/1",
IF(#REF!=4,"19-20/2",
IF(#REF!=5,"20-21/1",
IF(#REF!=6,"20-21/2",
IF(#REF!=7,"21-22/1",
IF(#REF!=8,"21-22/2","Hata1")))))))),
IF(#REF!+BM122=2019,
IF(#REF!=1,"19-20/1",
IF(#REF!=2,"19-20/2",
IF(#REF!=3,"20-21/1",
IF(#REF!=4,"20-21/2",
IF(#REF!=5,"21-22/1",
IF(#REF!=6,"21-22/2",
IF(#REF!=7,"22-23/1",
IF(#REF!=8,"22-23/2","Hata2")))))))),
IF(#REF!+BM122=2020,
IF(#REF!=1,"20-21/1",
IF(#REF!=2,"20-21/2",
IF(#REF!=3,"21-22/1",
IF(#REF!=4,"21-22/2",
IF(#REF!=5,"22-23/1",
IF(#REF!=6,"22-23/2",
IF(#REF!=7,"23-24/1",
IF(#REF!=8,"23-24/2","Hata3")))))))),
IF(#REF!+BM122=2021,
IF(#REF!=1,"21-22/1",
IF(#REF!=2,"21-22/2",
IF(#REF!=3,"22-23/1",
IF(#REF!=4,"22-23/2",
IF(#REF!=5,"23-24/1",
IF(#REF!=6,"23-24/2",
IF(#REF!=7,"24-25/1",
IF(#REF!=8,"24-25/2","Hata4")))))))),
IF(#REF!+BM122=2022,
IF(#REF!=1,"22-23/1",
IF(#REF!=2,"22-23/2",
IF(#REF!=3,"23-24/1",
IF(#REF!=4,"23-24/2",
IF(#REF!=5,"24-25/1",
IF(#REF!=6,"24-25/2",
IF(#REF!=7,"25-26/1",
IF(#REF!=8,"25-26/2","Hata5")))))))),
IF(#REF!+BM122=2023,
IF(#REF!=1,"23-24/1",
IF(#REF!=2,"23-24/2",
IF(#REF!=3,"24-25/1",
IF(#REF!=4,"24-25/2",
IF(#REF!=5,"25-26/1",
IF(#REF!=6,"25-26/2",
IF(#REF!=7,"26-27/1",
IF(#REF!=8,"26-27/2","Hata6")))))))),
)))))),
IF(BE122="T",
IF(#REF!+BM122=2018,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2" s="1" t="s">
        <v>68</v>
      </c>
      <c r="J122" s="1">
        <v>4234788</v>
      </c>
      <c r="L122" s="2">
        <v>3586</v>
      </c>
      <c r="N122" s="2">
        <v>5</v>
      </c>
      <c r="O122" s="6">
        <f t="shared" si="42"/>
        <v>2.5</v>
      </c>
      <c r="P122" s="2">
        <f t="shared" si="43"/>
        <v>4</v>
      </c>
      <c r="Q122" s="2">
        <v>1</v>
      </c>
      <c r="R122" s="2">
        <v>3</v>
      </c>
      <c r="S122" s="2">
        <v>0</v>
      </c>
      <c r="X122" s="3">
        <v>2</v>
      </c>
      <c r="Y122" s="1">
        <f>VLOOKUP($X122,[5]ölçme_sistemleri!I$1:L$65536,2,FALSE)</f>
        <v>0</v>
      </c>
      <c r="Z122" s="1">
        <f>VLOOKUP($X122,[5]ölçme_sistemleri!I$1:L$65536,3,FALSE)</f>
        <v>2</v>
      </c>
      <c r="AA122" s="1">
        <f>VLOOKUP($X122,[5]ölçme_sistemleri!I$1:L$65536,4,FALSE)</f>
        <v>1</v>
      </c>
      <c r="AB122" s="1">
        <f>$O122*[5]ölçme_sistemleri!J$13</f>
        <v>2.5</v>
      </c>
      <c r="AC122" s="1">
        <f>$O122*[5]ölçme_sistemleri!K$13</f>
        <v>5</v>
      </c>
      <c r="AD122" s="1">
        <f>$O122*[5]ölçme_sistemleri!L$13</f>
        <v>7.5</v>
      </c>
      <c r="AE122" s="1">
        <f t="shared" si="44"/>
        <v>0</v>
      </c>
      <c r="AF122" s="1">
        <f t="shared" si="45"/>
        <v>10</v>
      </c>
      <c r="AG122" s="1">
        <f t="shared" si="46"/>
        <v>7.5</v>
      </c>
      <c r="AH122" s="1">
        <f t="shared" si="47"/>
        <v>17.5</v>
      </c>
      <c r="AI122" s="1">
        <v>14</v>
      </c>
      <c r="AJ122" s="1">
        <f>VLOOKUP(X122,[5]ölçme_sistemleri!I$1:M$65536,5,FALSE)</f>
        <v>2</v>
      </c>
      <c r="AK122" s="1">
        <f t="shared" si="48"/>
        <v>245</v>
      </c>
      <c r="AL122" s="1">
        <f>AI122*3</f>
        <v>42</v>
      </c>
      <c r="AM122" s="1">
        <f>VLOOKUP(X122,[5]ölçme_sistemleri!I$1:N$65536,6,FALSE)</f>
        <v>3</v>
      </c>
      <c r="AN122" s="1">
        <v>2</v>
      </c>
      <c r="AO122" s="1">
        <f t="shared" si="49"/>
        <v>6</v>
      </c>
      <c r="AP122" s="1">
        <v>14</v>
      </c>
      <c r="AQ122" s="1">
        <f t="shared" si="59"/>
        <v>56</v>
      </c>
      <c r="AR122" s="1">
        <f t="shared" si="50"/>
        <v>121.5</v>
      </c>
      <c r="AS122" s="1">
        <f>IF(BE122="s",25,30)</f>
        <v>25</v>
      </c>
      <c r="AT122" s="1">
        <f t="shared" si="51"/>
        <v>5</v>
      </c>
      <c r="AU122" s="1">
        <f t="shared" si="60"/>
        <v>0</v>
      </c>
      <c r="AV122" s="1">
        <f t="shared" si="73"/>
        <v>0</v>
      </c>
      <c r="AW122" s="1">
        <f t="shared" si="74"/>
        <v>0</v>
      </c>
      <c r="AX122" s="1">
        <f t="shared" si="75"/>
        <v>0</v>
      </c>
      <c r="AY122" s="1">
        <f t="shared" si="52"/>
        <v>-17.5</v>
      </c>
      <c r="AZ122" s="1">
        <f t="shared" si="76"/>
        <v>0</v>
      </c>
      <c r="BA122" s="1">
        <f t="shared" si="53"/>
        <v>-42</v>
      </c>
      <c r="BB122" s="1">
        <f t="shared" si="72"/>
        <v>0</v>
      </c>
      <c r="BC122" s="1">
        <f t="shared" si="55"/>
        <v>-6</v>
      </c>
      <c r="BD122" s="1">
        <f t="shared" si="56"/>
        <v>0</v>
      </c>
      <c r="BE122" s="1" t="s">
        <v>65</v>
      </c>
      <c r="BF122" s="1">
        <f>IF(BL122="A",0,IF(BE122="s",14*O122,IF(BE122="T",11*O122,"HATA")))</f>
        <v>35</v>
      </c>
      <c r="BG122" s="1">
        <f>IF(BL122="Z",(BF122+BD122)*1.15,(BF122+BD122))</f>
        <v>35</v>
      </c>
      <c r="BH122" s="1">
        <f t="shared" si="58"/>
        <v>1</v>
      </c>
      <c r="BI122" s="1" t="e">
        <f>IF(BH122-#REF!=0,"DOĞRU","YANLIŞ")</f>
        <v>#REF!</v>
      </c>
      <c r="BJ122" s="1" t="e">
        <f>#REF!-BH122</f>
        <v>#REF!</v>
      </c>
      <c r="BK122" s="1">
        <v>0</v>
      </c>
      <c r="BM122" s="1">
        <v>0</v>
      </c>
      <c r="BO122" s="1">
        <v>2</v>
      </c>
      <c r="BT122" s="8">
        <f t="shared" si="77"/>
        <v>42</v>
      </c>
      <c r="BU122" s="9"/>
      <c r="BV122" s="10"/>
      <c r="BW122" s="11"/>
      <c r="BX122" s="11"/>
      <c r="BY122" s="11"/>
      <c r="BZ122" s="11"/>
      <c r="CA122" s="11"/>
      <c r="CB122" s="12"/>
      <c r="CC122" s="13"/>
      <c r="CD122" s="14"/>
      <c r="CL122" s="11"/>
      <c r="CM122" s="11"/>
      <c r="CN122" s="11"/>
      <c r="CO122" s="11"/>
      <c r="CP122" s="11"/>
      <c r="CQ122" s="54"/>
      <c r="CR122" s="46"/>
      <c r="CS122" s="54"/>
      <c r="CT122" s="48"/>
      <c r="CU122" s="48"/>
      <c r="CV122" s="48"/>
      <c r="CW122" s="49"/>
      <c r="CX122" s="49"/>
    </row>
    <row r="123" spans="1:102" hidden="1" x14ac:dyDescent="0.25">
      <c r="A123" s="1" t="s">
        <v>473</v>
      </c>
      <c r="B123" s="38" t="s">
        <v>474</v>
      </c>
      <c r="C123" s="1" t="s">
        <v>474</v>
      </c>
      <c r="D123" s="2" t="s">
        <v>63</v>
      </c>
      <c r="E123" s="2" t="s">
        <v>63</v>
      </c>
      <c r="F123" s="3" t="e">
        <f>IF(BE123="S",
IF(#REF!+BM123=2018,
IF(#REF!=1,"18-19/1",
IF(#REF!=2,"18-19/2",
IF(#REF!=3,"19-20/1",
IF(#REF!=4,"19-20/2",
IF(#REF!=5,"20-21/1",
IF(#REF!=6,"20-21/2",
IF(#REF!=7,"21-22/1",
IF(#REF!=8,"21-22/2","Hata1")))))))),
IF(#REF!+BM123=2019,
IF(#REF!=1,"19-20/1",
IF(#REF!=2,"19-20/2",
IF(#REF!=3,"20-21/1",
IF(#REF!=4,"20-21/2",
IF(#REF!=5,"21-22/1",
IF(#REF!=6,"21-22/2",
IF(#REF!=7,"22-23/1",
IF(#REF!=8,"22-23/2","Hata2")))))))),
IF(#REF!+BM123=2020,
IF(#REF!=1,"20-21/1",
IF(#REF!=2,"20-21/2",
IF(#REF!=3,"21-22/1",
IF(#REF!=4,"21-22/2",
IF(#REF!=5,"22-23/1",
IF(#REF!=6,"22-23/2",
IF(#REF!=7,"23-24/1",
IF(#REF!=8,"23-24/2","Hata3")))))))),
IF(#REF!+BM123=2021,
IF(#REF!=1,"21-22/1",
IF(#REF!=2,"21-22/2",
IF(#REF!=3,"22-23/1",
IF(#REF!=4,"22-23/2",
IF(#REF!=5,"23-24/1",
IF(#REF!=6,"23-24/2",
IF(#REF!=7,"24-25/1",
IF(#REF!=8,"24-25/2","Hata4")))))))),
IF(#REF!+BM123=2022,
IF(#REF!=1,"22-23/1",
IF(#REF!=2,"22-23/2",
IF(#REF!=3,"23-24/1",
IF(#REF!=4,"23-24/2",
IF(#REF!=5,"24-25/1",
IF(#REF!=6,"24-25/2",
IF(#REF!=7,"25-26/1",
IF(#REF!=8,"25-26/2","Hata5")))))))),
IF(#REF!+BM123=2023,
IF(#REF!=1,"23-24/1",
IF(#REF!=2,"23-24/2",
IF(#REF!=3,"24-25/1",
IF(#REF!=4,"24-25/2",
IF(#REF!=5,"25-26/1",
IF(#REF!=6,"25-26/2",
IF(#REF!=7,"26-27/1",
IF(#REF!=8,"26-27/2","Hata6")))))))),
)))))),
IF(BE123="T",
IF(#REF!+BM123=2018,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3" s="1" t="s">
        <v>68</v>
      </c>
      <c r="J123" s="1">
        <v>4234788</v>
      </c>
      <c r="L123" s="28">
        <v>3394</v>
      </c>
      <c r="N123" s="26">
        <v>5</v>
      </c>
      <c r="O123" s="29">
        <f t="shared" ref="O123:O185" si="81">(S123)+(R123/2)+(Q123)</f>
        <v>2.5</v>
      </c>
      <c r="P123">
        <f t="shared" ref="P123:P185" si="82">Q123+R123+S123</f>
        <v>4</v>
      </c>
      <c r="Q123" s="2">
        <v>1</v>
      </c>
      <c r="R123" s="2">
        <v>3</v>
      </c>
      <c r="S123" s="2">
        <v>0</v>
      </c>
      <c r="X123" s="3">
        <v>2</v>
      </c>
      <c r="Y123" s="1">
        <f>VLOOKUP($X123,[5]ölçme_sistemleri!I$1:L$65536,2,FALSE)</f>
        <v>0</v>
      </c>
      <c r="Z123" s="1">
        <f>VLOOKUP($X123,[5]ölçme_sistemleri!I$1:L$65536,3,FALSE)</f>
        <v>2</v>
      </c>
      <c r="AA123" s="1">
        <f>VLOOKUP($X123,[5]ölçme_sistemleri!I$1:L$65536,4,FALSE)</f>
        <v>1</v>
      </c>
      <c r="AB123" s="1">
        <f>$O123*[5]ölçme_sistemleri!J$13</f>
        <v>2.5</v>
      </c>
      <c r="AC123" s="1">
        <f>$O123*[5]ölçme_sistemleri!K$13</f>
        <v>5</v>
      </c>
      <c r="AD123" s="1">
        <f>$O123*[5]ölçme_sistemleri!L$13</f>
        <v>7.5</v>
      </c>
      <c r="AE123" s="1">
        <f t="shared" ref="AE123:AE185" si="83">Y123*AB123</f>
        <v>0</v>
      </c>
      <c r="AF123" s="1">
        <f t="shared" ref="AF123:AF185" si="84">Z123*AC123</f>
        <v>10</v>
      </c>
      <c r="AG123" s="1">
        <f t="shared" ref="AG123:AG185" si="85">AA123*AD123</f>
        <v>7.5</v>
      </c>
      <c r="AH123" s="1">
        <f t="shared" ref="AH123:AH185" si="86">SUM(AE123:AG123)</f>
        <v>17.5</v>
      </c>
      <c r="AI123" s="1">
        <v>14</v>
      </c>
      <c r="AJ123" s="1">
        <f>VLOOKUP(X123,[5]ölçme_sistemleri!I$1:M$65536,5,FALSE)</f>
        <v>2</v>
      </c>
      <c r="AK123" s="1">
        <f t="shared" ref="AK123:AK185" si="87">SUM(AE123,AF123,AG123)*AI123</f>
        <v>245</v>
      </c>
      <c r="AL123" s="36">
        <f>AI123*3</f>
        <v>42</v>
      </c>
      <c r="AM123" s="1">
        <f>VLOOKUP(X123,[5]ölçme_sistemleri!I$1:N$65536,6,FALSE)</f>
        <v>3</v>
      </c>
      <c r="AN123" s="1">
        <v>2</v>
      </c>
      <c r="AO123" s="1">
        <f t="shared" ref="AO123:AO185" si="88">AM123*AN123</f>
        <v>6</v>
      </c>
      <c r="AP123" s="1">
        <v>14</v>
      </c>
      <c r="AQ123" s="1">
        <f t="shared" si="59"/>
        <v>56</v>
      </c>
      <c r="AR123" s="1">
        <f t="shared" ref="AR123:AR185" si="89">AQ123+AO123+AL123+AE123+AF123+AG123</f>
        <v>121.5</v>
      </c>
      <c r="AS123" s="1">
        <f>IF(BE123="s",25,30)</f>
        <v>25</v>
      </c>
      <c r="AT123" s="1">
        <f t="shared" ref="AT123:AT185" si="90">ROUND(AR123/AS123,0)</f>
        <v>5</v>
      </c>
      <c r="AU123" s="1">
        <f t="shared" si="60"/>
        <v>0</v>
      </c>
      <c r="AV123" s="1" t="e">
        <f>IF(BE123="s",IF(#REF!=0,0,
IF(#REF!=1,N123*4*4,
IF(#REF!=2,0,
IF(#REF!=3,N123*4*2,
IF(#REF!=4,0,
IF(#REF!=5,0,
IF(#REF!=6,0,
IF(#REF!=7,0)))))))),
IF(BE123="t",
IF(#REF!=0,0,
IF(#REF!=1,N123*4*4*0.8,
IF(#REF!=2,0,
IF(#REF!=3,N123*4*2*0.8,
IF(#REF!=4,0,
IF(#REF!=5,0,
IF(#REF!=6,0,
IF(#REF!=7,0))))))))))</f>
        <v>#REF!</v>
      </c>
      <c r="AW123" s="1" t="e">
        <f>IF(BE123="s",
IF(#REF!=0,0,
IF(#REF!=1,0,
IF(#REF!=2,N123*4*2,
IF(#REF!=3,N123*4,
IF(#REF!=4,N123*4,
IF(#REF!=5,0,
IF(#REF!=6,0,
IF(#REF!=7,N123*4)))))))),
IF(BE123="t",
IF(#REF!=0,0,
IF(#REF!=1,0,
IF(#REF!=2,N123*4*2*0.8,
IF(#REF!=3,N123*4*0.8,
IF(#REF!=4,N123*4*0.8,
IF(#REF!=5,0,
IF(#REF!=6,0,
IF(#REF!=7,N123*4))))))))))</f>
        <v>#REF!</v>
      </c>
      <c r="AX123" s="1" t="e">
        <f>IF(BE123="s",
IF(#REF!=0,0,
IF(#REF!=1,N123*2,
IF(#REF!=2,N123*2,
IF(#REF!=3,N123*2,
IF(#REF!=4,N123*2,
IF(#REF!=5,N123*2,
IF(#REF!=6,N123*2,
IF(#REF!=7,N123*2)))))))),
IF(BE123="t",
IF(#REF!=0,O123*2*0.8,
IF(#REF!=1,N123*2*0.8,
IF(#REF!=2,N123*2*0.8,
IF(#REF!=3,N123*2*0.8,
IF(#REF!=4,N123*2*0.8,
IF(#REF!=5,N123*2*0.8,
IF(#REF!=6,N123*1*0.8,
IF(#REF!=7,N123*2))))))))))</f>
        <v>#REF!</v>
      </c>
      <c r="AY123" s="1" t="e">
        <f t="shared" ref="AY123:AY185" si="91">SUM(AV123:AX123)-SUM(AD123:AF123)</f>
        <v>#REF!</v>
      </c>
      <c r="AZ123" s="1" t="e">
        <f>IF(BE123="s",
IF(#REF!=0,0,
IF(#REF!=1,(14-2)*(P123+R123)/4*4,
IF(#REF!=2,(14-2)*(P123+R123)/4*2,
IF(#REF!=3,(14-2)*(P123+R123)/4*3,
IF(#REF!=4,(14-2)*(P123+R123)/4,
IF(#REF!=5,(14-2)*N123/4,
IF(#REF!=6,0,
IF(#REF!=7,(14)*R123)))))))),
IF(BE123="t",
IF(#REF!=0,0,
IF(#REF!=1,(11-2)*(P123+R123)/4*4,
IF(#REF!=2,(11-2)*(P123+R123)/4*2,
IF(#REF!=3,(11-2)*(P123+R123)/4*3,
IF(#REF!=4,(11-2)*(P123+R123)/4,
IF(#REF!=5,(11-2)*N123/4,
IF(#REF!=6,0,
IF(#REF!=7,(11)*N123))))))))))</f>
        <v>#REF!</v>
      </c>
      <c r="BA123" s="1" t="e">
        <f t="shared" ref="BA123:BA185" si="92">AZ123-AL123</f>
        <v>#REF!</v>
      </c>
      <c r="BB123" s="1" t="e">
        <f>IF(BE123="s",
IF(#REF!=0,0,
IF(#REF!=1,4*5,
IF(#REF!=2,4*3,
IF(#REF!=3,4*4,
IF(#REF!=4,4*2,
IF(#REF!=5,4,
IF(#REF!=6,4/2,
IF(#REF!=7,4*2,)))))))),
IF(BE123="t",
IF(#REF!=0,0,
IF(#REF!=1,4*5,
IF(#REF!=2,4*3,
IF(#REF!=3,4*4,
IF(#REF!=4,4*2,
IF(#REF!=5,4,
IF(#REF!=6,4/2,
IF(#REF!=7,4*2))))))))))</f>
        <v>#REF!</v>
      </c>
      <c r="BC123" s="1" t="e">
        <f t="shared" ref="BC123:BC185" si="93">BB123-AO123</f>
        <v>#REF!</v>
      </c>
      <c r="BD123" s="1" t="e">
        <f t="shared" ref="BD123:BD185" si="94">AV123+AW123+AX123+(IF(BK123=1,(AZ123)*2,AZ123))+BB123</f>
        <v>#REF!</v>
      </c>
      <c r="BE123" s="1" t="s">
        <v>65</v>
      </c>
      <c r="BF123" s="1">
        <f>IF(BL123="A",0,IF(BE123="s",14*O123,IF(BE123="T",11*O123,"HATA")))</f>
        <v>35</v>
      </c>
      <c r="BG123" s="1" t="e">
        <f>IF(BL123="Z",(BF123+BD123)*1.15,(BF123+BD123))</f>
        <v>#REF!</v>
      </c>
      <c r="BH123" s="1" t="e">
        <f t="shared" ref="BH123:BH185" si="95">IF(BE123="s",ROUND(BG123/30,0),IF(BE123="T",ROUND(BG123/25,0),"HATA"))</f>
        <v>#REF!</v>
      </c>
      <c r="BI123" s="1" t="e">
        <f>IF(BH123-#REF!=0,"DOĞRU","YANLIŞ")</f>
        <v>#REF!</v>
      </c>
      <c r="BJ123" s="1" t="e">
        <f>#REF!-BH123</f>
        <v>#REF!</v>
      </c>
      <c r="BK123" s="1">
        <v>1</v>
      </c>
      <c r="BM123" s="1">
        <v>0</v>
      </c>
      <c r="BO123" s="1">
        <v>3</v>
      </c>
      <c r="BT123" s="8" t="e">
        <f>#REF!*14</f>
        <v>#REF!</v>
      </c>
      <c r="BU123" s="9"/>
      <c r="BV123" s="10"/>
      <c r="BW123" s="11"/>
      <c r="BX123" s="11"/>
      <c r="BY123" s="11"/>
      <c r="BZ123" s="11"/>
      <c r="CA123" s="11"/>
      <c r="CB123" s="12"/>
      <c r="CC123" s="13"/>
      <c r="CD123" s="14"/>
      <c r="CL123" s="11"/>
      <c r="CM123" s="11"/>
      <c r="CN123" s="11"/>
      <c r="CO123" s="11"/>
      <c r="CP123" s="11"/>
      <c r="CQ123" s="46"/>
      <c r="CR123" s="46"/>
      <c r="CS123" s="48"/>
      <c r="CT123" s="48"/>
      <c r="CU123" s="48"/>
      <c r="CV123" s="48"/>
      <c r="CW123" s="49"/>
      <c r="CX123" s="49"/>
    </row>
    <row r="124" spans="1:102" hidden="1" x14ac:dyDescent="0.25">
      <c r="A124" s="1" t="s">
        <v>127</v>
      </c>
      <c r="B124" s="1" t="s">
        <v>128</v>
      </c>
      <c r="C124" s="1" t="s">
        <v>128</v>
      </c>
      <c r="D124" s="2" t="s">
        <v>63</v>
      </c>
      <c r="E124" s="2" t="s">
        <v>63</v>
      </c>
      <c r="F124" s="3" t="e">
        <f>IF(BE124="S",
IF(#REF!+BM124=2018,
IF(#REF!=1,"18-19/1",
IF(#REF!=2,"18-19/2",
IF(#REF!=3,"19-20/1",
IF(#REF!=4,"19-20/2",
IF(#REF!=5,"20-21/1",
IF(#REF!=6,"20-21/2",
IF(#REF!=7,"21-22/1",
IF(#REF!=8,"21-22/2","Hata1")))))))),
IF(#REF!+BM124=2019,
IF(#REF!=1,"19-20/1",
IF(#REF!=2,"19-20/2",
IF(#REF!=3,"20-21/1",
IF(#REF!=4,"20-21/2",
IF(#REF!=5,"21-22/1",
IF(#REF!=6,"21-22/2",
IF(#REF!=7,"22-23/1",
IF(#REF!=8,"22-23/2","Hata2")))))))),
IF(#REF!+BM124=2020,
IF(#REF!=1,"20-21/1",
IF(#REF!=2,"20-21/2",
IF(#REF!=3,"21-22/1",
IF(#REF!=4,"21-22/2",
IF(#REF!=5,"22-23/1",
IF(#REF!=6,"22-23/2",
IF(#REF!=7,"23-24/1",
IF(#REF!=8,"23-24/2","Hata3")))))))),
IF(#REF!+BM124=2021,
IF(#REF!=1,"21-22/1",
IF(#REF!=2,"21-22/2",
IF(#REF!=3,"22-23/1",
IF(#REF!=4,"22-23/2",
IF(#REF!=5,"23-24/1",
IF(#REF!=6,"23-24/2",
IF(#REF!=7,"24-25/1",
IF(#REF!=8,"24-25/2","Hata4")))))))),
IF(#REF!+BM124=2022,
IF(#REF!=1,"22-23/1",
IF(#REF!=2,"22-23/2",
IF(#REF!=3,"23-24/1",
IF(#REF!=4,"23-24/2",
IF(#REF!=5,"24-25/1",
IF(#REF!=6,"24-25/2",
IF(#REF!=7,"25-26/1",
IF(#REF!=8,"25-26/2","Hata5")))))))),
IF(#REF!+BM124=2023,
IF(#REF!=1,"23-24/1",
IF(#REF!=2,"23-24/2",
IF(#REF!=3,"24-25/1",
IF(#REF!=4,"24-25/2",
IF(#REF!=5,"25-26/1",
IF(#REF!=6,"25-26/2",
IF(#REF!=7,"26-27/1",
IF(#REF!=8,"26-27/2","Hata6")))))))),
)))))),
IF(BE124="T",
IF(#REF!+BM124=2018,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4" s="1" t="s">
        <v>68</v>
      </c>
      <c r="J124" s="1">
        <v>4234788</v>
      </c>
      <c r="L124" s="2">
        <v>3422</v>
      </c>
      <c r="N124" s="2">
        <v>3</v>
      </c>
      <c r="O124" s="6">
        <f t="shared" si="81"/>
        <v>2</v>
      </c>
      <c r="P124" s="2">
        <f t="shared" si="82"/>
        <v>2</v>
      </c>
      <c r="Q124" s="2">
        <v>0</v>
      </c>
      <c r="R124" s="2">
        <v>0</v>
      </c>
      <c r="S124" s="2">
        <v>2</v>
      </c>
      <c r="X124" s="3">
        <v>2</v>
      </c>
      <c r="Y124" s="1">
        <f>VLOOKUP(X124,[17]ölçme_sistemleri!I:L,2,FALSE)</f>
        <v>0</v>
      </c>
      <c r="Z124" s="1">
        <f>VLOOKUP(X124,[17]ölçme_sistemleri!I:L,3,FALSE)</f>
        <v>2</v>
      </c>
      <c r="AA124" s="1">
        <f>VLOOKUP(X124,[17]ölçme_sistemleri!I:L,4,FALSE)</f>
        <v>1</v>
      </c>
      <c r="AB124" s="1">
        <f>$O124*[17]ölçme_sistemleri!J$13</f>
        <v>2</v>
      </c>
      <c r="AC124" s="1">
        <f>$O124*[17]ölçme_sistemleri!K$13</f>
        <v>4</v>
      </c>
      <c r="AD124" s="1">
        <f>$O124*[17]ölçme_sistemleri!L$13</f>
        <v>6</v>
      </c>
      <c r="AE124" s="1">
        <f t="shared" si="83"/>
        <v>0</v>
      </c>
      <c r="AF124" s="1">
        <f t="shared" si="84"/>
        <v>8</v>
      </c>
      <c r="AG124" s="1">
        <f t="shared" si="85"/>
        <v>6</v>
      </c>
      <c r="AH124" s="1">
        <f t="shared" si="86"/>
        <v>14</v>
      </c>
      <c r="AI124" s="1">
        <v>14</v>
      </c>
      <c r="AJ124" s="1">
        <f>VLOOKUP(X124,[17]ölçme_sistemleri!I:M,5,FALSE)</f>
        <v>2</v>
      </c>
      <c r="AK124" s="1">
        <f t="shared" si="87"/>
        <v>196</v>
      </c>
      <c r="AL124" s="1">
        <f>(Q124+S124)*AI124</f>
        <v>28</v>
      </c>
      <c r="AM124" s="1">
        <f>VLOOKUP(X124,[17]ölçme_sistemleri!I:N,6,FALSE)</f>
        <v>3</v>
      </c>
      <c r="AN124" s="1">
        <v>2</v>
      </c>
      <c r="AO124" s="1">
        <f t="shared" si="88"/>
        <v>6</v>
      </c>
      <c r="AP124" s="1">
        <v>14</v>
      </c>
      <c r="AQ124" s="1">
        <f t="shared" si="59"/>
        <v>28</v>
      </c>
      <c r="AR124" s="1">
        <f t="shared" si="89"/>
        <v>76</v>
      </c>
      <c r="AS124" s="1">
        <v>25</v>
      </c>
      <c r="AT124" s="1">
        <f t="shared" si="90"/>
        <v>3</v>
      </c>
      <c r="AU124" s="1">
        <f t="shared" si="60"/>
        <v>0</v>
      </c>
      <c r="AV124" s="1">
        <f t="shared" ref="AV124:AV155" si="96">IF(BE124="s",IF(W124=0,0,
IF(W124=1,N124*4*4,
IF(W124=2,0,
IF(W124=3,N124*4*2,
IF(W124=4,0,
IF(W124=5,0,
IF(W124=6,0,
IF(W124=7,0)))))))),
IF(BE124="t",
IF(W124=0,0,
IF(W124=1,N124*4*4*0.8,
IF(W124=2,0,
IF(W124=3,N124*4*2*0.8,
IF(W124=4,0,
IF(W124=5,0,
IF(W124=6,0,
IF(W124=7,0))))))))))</f>
        <v>0</v>
      </c>
      <c r="AW124" s="1">
        <f t="shared" ref="AW124:AW155" si="97">IF(BE124="s",
IF(W124=0,0,
IF(W124=1,0,
IF(W124=2,N124*4*2,
IF(W124=3,N124*4,
IF(W124=4,N124*4,
IF(W124=5,0,
IF(W124=6,0,
IF(W124=7,N124*4)))))))),
IF(BE124="t",
IF(W124=0,0,
IF(W124=1,0,
IF(W124=2,N124*4*2*0.8,
IF(W124=3,N124*4*0.8,
IF(W124=4,N124*4*0.8,
IF(W124=5,0,
IF(W124=6,0,
IF(W124=7,N124*4))))))))))</f>
        <v>0</v>
      </c>
      <c r="AX124" s="1">
        <f t="shared" ref="AX124:AX155" si="98">IF(BE124="s",
IF(W124=0,0,
IF(W124=1,N124*2,
IF(W124=2,N124*2,
IF(W124=3,N124*2,
IF(W124=4,N124*2,
IF(W124=5,N124*2,
IF(W124=6,N124*2,
IF(W124=7,N124*2)))))))),
IF(BE124="t",
IF(W124=0,O124*2*0.8,
IF(W124=1,N124*2*0.8,
IF(W124=2,N124*2*0.8,
IF(W124=3,N124*2*0.8,
IF(W124=4,N124*2*0.8,
IF(W124=5,N124*2*0.8,
IF(W124=6,N124*1*0.8,
IF(W124=7,N124*2))))))))))</f>
        <v>0</v>
      </c>
      <c r="AY124" s="1">
        <f t="shared" si="91"/>
        <v>-14</v>
      </c>
      <c r="AZ124" s="1">
        <f t="shared" ref="AZ124:AZ155" si="99">IF(BE124="s",
IF(W124=0,0,
IF(W124=1,(14-2)*(P124+R124)/4*4,
IF(W124=2,(14-2)*(P124+R124)/4*2,
IF(W124=3,(14-2)*(P124+R124)/4*3,
IF(W124=4,(14-2)*(P124+R124)/4,
IF(W124=5,(14-2)*N124/4,
IF(W124=6,0,
IF(W124=7,(14)*R124)))))))),
IF(BE124="t",
IF(W124=0,0,
IF(W124=1,(11-2)*(P124+R124)/4*4,
IF(W124=2,(11-2)*(P124+R124)/4*2,
IF(W124=3,(11-2)*(P124+R124)/4*3,
IF(W124=4,(11-2)*(P124+R124)/4,
IF(W124=5,(11-2)*N124/4,
IF(W124=6,0,
IF(W124=7,(11)*N124))))))))))</f>
        <v>0</v>
      </c>
      <c r="BA124" s="1">
        <f t="shared" si="92"/>
        <v>-28</v>
      </c>
      <c r="BB124" s="1">
        <f t="shared" ref="BB124:BB155" si="100">IF(BE124="s",
IF(W124=0,0,
IF(W124=1,4*5,
IF(W124=2,4*3,
IF(W124=3,4*4,
IF(W124=4,4*2,
IF(W124=5,4,
IF(W124=6,4/2,
IF(W124=7,4*2,)))))))),
IF(BE124="t",
IF(W124=0,0,
IF(W124=1,4*5,
IF(W124=2,4*3,
IF(W124=3,4*4,
IF(W124=4,4*2,
IF(W124=5,4,
IF(W124=6,4/2,
IF(W124=7,4*2))))))))))</f>
        <v>0</v>
      </c>
      <c r="BC124" s="1">
        <f t="shared" si="93"/>
        <v>-6</v>
      </c>
      <c r="BD124" s="1">
        <f t="shared" si="94"/>
        <v>0</v>
      </c>
      <c r="BE124" s="1" t="s">
        <v>65</v>
      </c>
      <c r="BF124" s="1">
        <f>IF(BL124="A",0,IF(BE124="s",14*O124,IF(BE124="T",11*O124,"HATA")))</f>
        <v>28</v>
      </c>
      <c r="BG124" s="1">
        <f>IF(BL124="Z",(BF124+BD124)*1.15,(BF124+BD124))</f>
        <v>28</v>
      </c>
      <c r="BH124" s="1">
        <f t="shared" si="95"/>
        <v>1</v>
      </c>
      <c r="BI124" s="1" t="e">
        <f>IF(BH124-#REF!=0,"DOĞRU","YANLIŞ")</f>
        <v>#REF!</v>
      </c>
      <c r="BJ124" s="1" t="e">
        <f>#REF!-BH124</f>
        <v>#REF!</v>
      </c>
      <c r="BK124" s="1">
        <v>1</v>
      </c>
      <c r="BM124" s="1">
        <v>0</v>
      </c>
      <c r="BO124" s="1">
        <v>3</v>
      </c>
      <c r="BT124" s="8">
        <f>R124*14</f>
        <v>0</v>
      </c>
      <c r="BU124" s="9"/>
      <c r="BV124" s="10"/>
      <c r="BW124" s="11"/>
      <c r="BX124" s="11"/>
      <c r="BY124" s="11"/>
      <c r="BZ124" s="11"/>
      <c r="CA124" s="11"/>
      <c r="CB124" s="12"/>
      <c r="CC124" s="13"/>
      <c r="CD124" s="14"/>
      <c r="CL124" s="11"/>
      <c r="CM124" s="11"/>
      <c r="CN124" s="11"/>
      <c r="CO124" s="11"/>
      <c r="CP124" s="11"/>
      <c r="CQ124" s="54"/>
      <c r="CR124" s="55"/>
      <c r="CS124" s="54"/>
      <c r="CT124" s="55"/>
      <c r="CU124" s="48"/>
      <c r="CV124" s="48"/>
      <c r="CW124" s="49"/>
      <c r="CX124" s="49"/>
    </row>
    <row r="125" spans="1:102" hidden="1" x14ac:dyDescent="0.25">
      <c r="A125" s="1" t="s">
        <v>129</v>
      </c>
      <c r="B125" s="1" t="s">
        <v>130</v>
      </c>
      <c r="C125" s="1" t="s">
        <v>130</v>
      </c>
      <c r="D125" s="2" t="s">
        <v>63</v>
      </c>
      <c r="E125" s="2" t="s">
        <v>63</v>
      </c>
      <c r="F125" s="3" t="e">
        <f>IF(BE125="S",
IF(#REF!+BM125=2018,
IF(#REF!=1,"18-19/1",
IF(#REF!=2,"18-19/2",
IF(#REF!=3,"19-20/1",
IF(#REF!=4,"19-20/2",
IF(#REF!=5,"20-21/1",
IF(#REF!=6,"20-21/2",
IF(#REF!=7,"21-22/1",
IF(#REF!=8,"21-22/2","Hata1")))))))),
IF(#REF!+BM125=2019,
IF(#REF!=1,"19-20/1",
IF(#REF!=2,"19-20/2",
IF(#REF!=3,"20-21/1",
IF(#REF!=4,"20-21/2",
IF(#REF!=5,"21-22/1",
IF(#REF!=6,"21-22/2",
IF(#REF!=7,"22-23/1",
IF(#REF!=8,"22-23/2","Hata2")))))))),
IF(#REF!+BM125=2020,
IF(#REF!=1,"20-21/1",
IF(#REF!=2,"20-21/2",
IF(#REF!=3,"21-22/1",
IF(#REF!=4,"21-22/2",
IF(#REF!=5,"22-23/1",
IF(#REF!=6,"22-23/2",
IF(#REF!=7,"23-24/1",
IF(#REF!=8,"23-24/2","Hata3")))))))),
IF(#REF!+BM125=2021,
IF(#REF!=1,"21-22/1",
IF(#REF!=2,"21-22/2",
IF(#REF!=3,"22-23/1",
IF(#REF!=4,"22-23/2",
IF(#REF!=5,"23-24/1",
IF(#REF!=6,"23-24/2",
IF(#REF!=7,"24-25/1",
IF(#REF!=8,"24-25/2","Hata4")))))))),
IF(#REF!+BM125=2022,
IF(#REF!=1,"22-23/1",
IF(#REF!=2,"22-23/2",
IF(#REF!=3,"23-24/1",
IF(#REF!=4,"23-24/2",
IF(#REF!=5,"24-25/1",
IF(#REF!=6,"24-25/2",
IF(#REF!=7,"25-26/1",
IF(#REF!=8,"25-26/2","Hata5")))))))),
IF(#REF!+BM125=2023,
IF(#REF!=1,"23-24/1",
IF(#REF!=2,"23-24/2",
IF(#REF!=3,"24-25/1",
IF(#REF!=4,"24-25/2",
IF(#REF!=5,"25-26/1",
IF(#REF!=6,"25-26/2",
IF(#REF!=7,"26-27/1",
IF(#REF!=8,"26-27/2","Hata6")))))))),
)))))),
IF(BE125="T",
IF(#REF!+BM125=2018,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5" s="1" t="s">
        <v>68</v>
      </c>
      <c r="J125" s="1">
        <v>4234788</v>
      </c>
      <c r="L125" s="2">
        <v>3397</v>
      </c>
      <c r="N125" s="2">
        <v>4</v>
      </c>
      <c r="O125" s="6">
        <f t="shared" si="81"/>
        <v>3</v>
      </c>
      <c r="P125" s="2">
        <f t="shared" si="82"/>
        <v>3</v>
      </c>
      <c r="Q125" s="2">
        <v>0</v>
      </c>
      <c r="R125" s="2">
        <v>0</v>
      </c>
      <c r="S125" s="2">
        <v>3</v>
      </c>
      <c r="X125" s="3">
        <v>2</v>
      </c>
      <c r="Y125" s="1">
        <f>VLOOKUP(X125,[15]ölçme_sistemleri!I:L,2,FALSE)</f>
        <v>0</v>
      </c>
      <c r="Z125" s="1">
        <f>VLOOKUP(X125,[15]ölçme_sistemleri!I:L,3,FALSE)</f>
        <v>2</v>
      </c>
      <c r="AA125" s="1">
        <f>VLOOKUP(X125,[15]ölçme_sistemleri!I:L,4,FALSE)</f>
        <v>1</v>
      </c>
      <c r="AB125" s="1">
        <f>$O125*[15]ölçme_sistemleri!J$13</f>
        <v>3</v>
      </c>
      <c r="AC125" s="1">
        <f>$O125*[15]ölçme_sistemleri!K$13</f>
        <v>6</v>
      </c>
      <c r="AD125" s="1">
        <f>$O125*[15]ölçme_sistemleri!L$13</f>
        <v>9</v>
      </c>
      <c r="AE125" s="1">
        <f t="shared" si="83"/>
        <v>0</v>
      </c>
      <c r="AF125" s="1">
        <f t="shared" si="84"/>
        <v>12</v>
      </c>
      <c r="AG125" s="1">
        <f t="shared" si="85"/>
        <v>9</v>
      </c>
      <c r="AH125" s="1">
        <f t="shared" si="86"/>
        <v>21</v>
      </c>
      <c r="AI125" s="1">
        <v>14</v>
      </c>
      <c r="AJ125" s="1">
        <f>VLOOKUP(X125,[15]ölçme_sistemleri!I:M,5,FALSE)</f>
        <v>2</v>
      </c>
      <c r="AK125" s="1">
        <f t="shared" si="87"/>
        <v>294</v>
      </c>
      <c r="AL125" s="1">
        <f>(Q125+S125)*AI125</f>
        <v>42</v>
      </c>
      <c r="AM125" s="1">
        <f>VLOOKUP(X125,[15]ölçme_sistemleri!I:N,6,FALSE)</f>
        <v>3</v>
      </c>
      <c r="AN125" s="1">
        <v>2</v>
      </c>
      <c r="AO125" s="1">
        <f t="shared" si="88"/>
        <v>6</v>
      </c>
      <c r="AP125" s="1">
        <v>14</v>
      </c>
      <c r="AQ125" s="1">
        <f t="shared" si="59"/>
        <v>42</v>
      </c>
      <c r="AR125" s="1">
        <f t="shared" si="89"/>
        <v>111</v>
      </c>
      <c r="AS125" s="1">
        <v>25</v>
      </c>
      <c r="AT125" s="1">
        <f t="shared" si="90"/>
        <v>4</v>
      </c>
      <c r="AU125" s="1">
        <f t="shared" si="60"/>
        <v>0</v>
      </c>
      <c r="AV125" s="1">
        <f t="shared" si="96"/>
        <v>0</v>
      </c>
      <c r="AW125" s="1">
        <f t="shared" si="97"/>
        <v>0</v>
      </c>
      <c r="AX125" s="1">
        <f t="shared" si="98"/>
        <v>0</v>
      </c>
      <c r="AY125" s="1">
        <f t="shared" si="91"/>
        <v>-21</v>
      </c>
      <c r="AZ125" s="1">
        <f t="shared" si="99"/>
        <v>0</v>
      </c>
      <c r="BA125" s="1">
        <f t="shared" si="92"/>
        <v>-42</v>
      </c>
      <c r="BB125" s="1">
        <f t="shared" si="100"/>
        <v>0</v>
      </c>
      <c r="BC125" s="1">
        <f t="shared" si="93"/>
        <v>-6</v>
      </c>
      <c r="BD125" s="1">
        <f t="shared" si="94"/>
        <v>0</v>
      </c>
      <c r="BE125" s="1" t="s">
        <v>65</v>
      </c>
      <c r="BF125" s="1">
        <f>IF(BM125="A",0,IF(BE125="s",14*O125,IF(BE125="T",11*O125,"HATA")))</f>
        <v>42</v>
      </c>
      <c r="BG125" s="1">
        <f>IF(BM125="Z",(BF125+BD125)*1.15,(BF125+BD125))</f>
        <v>42</v>
      </c>
      <c r="BH125" s="1">
        <f t="shared" si="95"/>
        <v>1</v>
      </c>
      <c r="BI125" s="1" t="e">
        <f>IF(BH125-#REF!=0,"DOĞRU","YANLIŞ")</f>
        <v>#REF!</v>
      </c>
      <c r="BJ125" s="1" t="e">
        <f>#REF!-BH125</f>
        <v>#REF!</v>
      </c>
      <c r="BK125" s="1">
        <v>1</v>
      </c>
      <c r="BM125" s="1">
        <v>0</v>
      </c>
      <c r="BO125" s="1">
        <v>3</v>
      </c>
      <c r="BT125" s="8">
        <f>R125*14</f>
        <v>0</v>
      </c>
      <c r="BU125" s="9"/>
      <c r="BV125" s="10"/>
      <c r="BW125" s="11"/>
      <c r="BX125" s="11"/>
      <c r="BY125" s="11"/>
      <c r="BZ125" s="11"/>
      <c r="CA125" s="11"/>
      <c r="CB125" s="12"/>
      <c r="CC125" s="13"/>
      <c r="CD125" s="14"/>
      <c r="CL125" s="11"/>
      <c r="CM125" s="11"/>
      <c r="CN125" s="11"/>
      <c r="CO125" s="11"/>
      <c r="CP125" s="11"/>
      <c r="CQ125" s="54"/>
      <c r="CR125" s="55"/>
      <c r="CS125" s="54"/>
      <c r="CT125" s="55"/>
      <c r="CU125" s="48"/>
      <c r="CV125" s="48"/>
      <c r="CW125" s="49"/>
      <c r="CX125" s="49"/>
    </row>
    <row r="126" spans="1:102" hidden="1" x14ac:dyDescent="0.25">
      <c r="A126" s="1" t="s">
        <v>95</v>
      </c>
      <c r="B126" s="1" t="s">
        <v>96</v>
      </c>
      <c r="C126" s="1" t="s">
        <v>96</v>
      </c>
      <c r="D126" s="2" t="s">
        <v>63</v>
      </c>
      <c r="E126" s="2" t="s">
        <v>63</v>
      </c>
      <c r="F126" s="3" t="e">
        <f>IF(BE126="S",
IF(#REF!+BM126=2018,
IF(#REF!=1,"18-19/1",
IF(#REF!=2,"18-19/2",
IF(#REF!=3,"19-20/1",
IF(#REF!=4,"19-20/2",
IF(#REF!=5,"20-21/1",
IF(#REF!=6,"20-21/2",
IF(#REF!=7,"21-22/1",
IF(#REF!=8,"21-22/2","Hata1")))))))),
IF(#REF!+BM126=2019,
IF(#REF!=1,"19-20/1",
IF(#REF!=2,"19-20/2",
IF(#REF!=3,"20-21/1",
IF(#REF!=4,"20-21/2",
IF(#REF!=5,"21-22/1",
IF(#REF!=6,"21-22/2",
IF(#REF!=7,"22-23/1",
IF(#REF!=8,"22-23/2","Hata2")))))))),
IF(#REF!+BM126=2020,
IF(#REF!=1,"20-21/1",
IF(#REF!=2,"20-21/2",
IF(#REF!=3,"21-22/1",
IF(#REF!=4,"21-22/2",
IF(#REF!=5,"22-23/1",
IF(#REF!=6,"22-23/2",
IF(#REF!=7,"23-24/1",
IF(#REF!=8,"23-24/2","Hata3")))))))),
IF(#REF!+BM126=2021,
IF(#REF!=1,"21-22/1",
IF(#REF!=2,"21-22/2",
IF(#REF!=3,"22-23/1",
IF(#REF!=4,"22-23/2",
IF(#REF!=5,"23-24/1",
IF(#REF!=6,"23-24/2",
IF(#REF!=7,"24-25/1",
IF(#REF!=8,"24-25/2","Hata4")))))))),
IF(#REF!+BM126=2022,
IF(#REF!=1,"22-23/1",
IF(#REF!=2,"22-23/2",
IF(#REF!=3,"23-24/1",
IF(#REF!=4,"23-24/2",
IF(#REF!=5,"24-25/1",
IF(#REF!=6,"24-25/2",
IF(#REF!=7,"25-26/1",
IF(#REF!=8,"25-26/2","Hata5")))))))),
IF(#REF!+BM126=2023,
IF(#REF!=1,"23-24/1",
IF(#REF!=2,"23-24/2",
IF(#REF!=3,"24-25/1",
IF(#REF!=4,"24-25/2",
IF(#REF!=5,"25-26/1",
IF(#REF!=6,"25-26/2",
IF(#REF!=7,"26-27/1",
IF(#REF!=8,"26-27/2","Hata6")))))))),
)))))),
IF(BE126="T",
IF(#REF!+BM126=2018,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6" s="1" t="s">
        <v>68</v>
      </c>
      <c r="J126" s="1">
        <v>4234788</v>
      </c>
      <c r="L126" s="2">
        <v>2801</v>
      </c>
      <c r="N126" s="2">
        <v>5</v>
      </c>
      <c r="O126" s="6">
        <f t="shared" si="81"/>
        <v>3</v>
      </c>
      <c r="P126" s="2">
        <f t="shared" si="82"/>
        <v>5</v>
      </c>
      <c r="Q126" s="2">
        <v>1</v>
      </c>
      <c r="R126" s="2">
        <v>4</v>
      </c>
      <c r="S126" s="2">
        <v>0</v>
      </c>
      <c r="X126" s="3">
        <v>3</v>
      </c>
      <c r="Y126" s="1">
        <f>VLOOKUP($X126,[5]ölçme_sistemleri!I$1:L$65536,2,FALSE)</f>
        <v>2</v>
      </c>
      <c r="Z126" s="1">
        <f>VLOOKUP($X126,[5]ölçme_sistemleri!I$1:L$65536,3,FALSE)</f>
        <v>1</v>
      </c>
      <c r="AA126" s="1">
        <f>VLOOKUP($X126,[5]ölçme_sistemleri!I$1:L$65536,4,FALSE)</f>
        <v>1</v>
      </c>
      <c r="AB126" s="1">
        <f>$O126*[5]ölçme_sistemleri!J$13</f>
        <v>3</v>
      </c>
      <c r="AC126" s="1">
        <f>$O126*[5]ölçme_sistemleri!K$13</f>
        <v>6</v>
      </c>
      <c r="AD126" s="1">
        <f>$O126*[5]ölçme_sistemleri!L$13</f>
        <v>9</v>
      </c>
      <c r="AE126" s="1">
        <f t="shared" si="83"/>
        <v>6</v>
      </c>
      <c r="AF126" s="1">
        <f t="shared" si="84"/>
        <v>6</v>
      </c>
      <c r="AG126" s="1">
        <f t="shared" si="85"/>
        <v>9</v>
      </c>
      <c r="AH126" s="1">
        <f t="shared" si="86"/>
        <v>21</v>
      </c>
      <c r="AI126" s="1">
        <v>14</v>
      </c>
      <c r="AJ126" s="1">
        <f>VLOOKUP(X126,[5]ölçme_sistemleri!I$1:M$65536,5,FALSE)</f>
        <v>3</v>
      </c>
      <c r="AK126" s="1">
        <f t="shared" si="87"/>
        <v>294</v>
      </c>
      <c r="AL126" s="1">
        <f>AI126*1</f>
        <v>14</v>
      </c>
      <c r="AM126" s="1">
        <f>VLOOKUP(X126,[5]ölçme_sistemleri!I$1:N$65536,6,FALSE)</f>
        <v>4</v>
      </c>
      <c r="AN126" s="1">
        <v>2</v>
      </c>
      <c r="AO126" s="1">
        <f t="shared" si="88"/>
        <v>8</v>
      </c>
      <c r="AP126" s="1">
        <v>14</v>
      </c>
      <c r="AQ126" s="1">
        <f t="shared" si="59"/>
        <v>70</v>
      </c>
      <c r="AR126" s="1">
        <f t="shared" si="89"/>
        <v>113</v>
      </c>
      <c r="AS126" s="1">
        <f>IF(BE126="s",25,30)</f>
        <v>25</v>
      </c>
      <c r="AT126" s="1">
        <f t="shared" si="90"/>
        <v>5</v>
      </c>
      <c r="AU126" s="1">
        <f t="shared" si="60"/>
        <v>0</v>
      </c>
      <c r="AV126" s="1">
        <f t="shared" si="96"/>
        <v>0</v>
      </c>
      <c r="AW126" s="1">
        <f t="shared" si="97"/>
        <v>0</v>
      </c>
      <c r="AX126" s="1">
        <f t="shared" si="98"/>
        <v>0</v>
      </c>
      <c r="AY126" s="1">
        <f t="shared" si="91"/>
        <v>-21</v>
      </c>
      <c r="AZ126" s="1">
        <f t="shared" si="99"/>
        <v>0</v>
      </c>
      <c r="BA126" s="1">
        <f t="shared" si="92"/>
        <v>-14</v>
      </c>
      <c r="BB126" s="1">
        <f t="shared" si="100"/>
        <v>0</v>
      </c>
      <c r="BC126" s="1">
        <f t="shared" si="93"/>
        <v>-8</v>
      </c>
      <c r="BD126" s="1">
        <f t="shared" si="94"/>
        <v>0</v>
      </c>
      <c r="BE126" s="1" t="s">
        <v>65</v>
      </c>
      <c r="BF126" s="1">
        <f>IF(BM126="A",0,IF(BE126="s",14*O126,IF(BE126="T",11*O126,"HATA")))</f>
        <v>42</v>
      </c>
      <c r="BG126" s="1">
        <f>IF(BM126="Z",(BF126+BD126)*1.15,(BF126+BD126))</f>
        <v>42</v>
      </c>
      <c r="BH126" s="1">
        <f t="shared" si="95"/>
        <v>1</v>
      </c>
      <c r="BI126" s="1" t="e">
        <f>IF(BH126-#REF!=0,"DOĞRU","YANLIŞ")</f>
        <v>#REF!</v>
      </c>
      <c r="BJ126" s="1" t="e">
        <f>#REF!-BH126</f>
        <v>#REF!</v>
      </c>
      <c r="BK126" s="1">
        <v>0</v>
      </c>
      <c r="BM126" s="1">
        <v>0</v>
      </c>
      <c r="BO126" s="1">
        <v>2</v>
      </c>
      <c r="BT126" s="8">
        <f>R126*14</f>
        <v>56</v>
      </c>
      <c r="BU126" s="9"/>
      <c r="BV126" s="10"/>
      <c r="BW126" s="11"/>
      <c r="BX126" s="11"/>
      <c r="BY126" s="11"/>
      <c r="BZ126" s="11"/>
      <c r="CA126" s="11"/>
      <c r="CB126" s="12"/>
      <c r="CC126" s="13"/>
      <c r="CD126" s="14"/>
      <c r="CL126" s="11"/>
      <c r="CM126" s="11"/>
      <c r="CN126" s="11"/>
      <c r="CO126" s="11"/>
      <c r="CP126" s="11"/>
      <c r="CQ126" s="49"/>
      <c r="CR126" s="46"/>
      <c r="CS126" s="48"/>
      <c r="CT126" s="48"/>
      <c r="CU126" s="48"/>
      <c r="CV126" s="48"/>
      <c r="CW126" s="49"/>
      <c r="CX126" s="49"/>
    </row>
    <row r="127" spans="1:102" hidden="1" x14ac:dyDescent="0.25">
      <c r="A127" s="1" t="s">
        <v>83</v>
      </c>
      <c r="B127" s="1" t="s">
        <v>84</v>
      </c>
      <c r="C127" s="1" t="s">
        <v>84</v>
      </c>
      <c r="D127" s="2" t="s">
        <v>63</v>
      </c>
      <c r="E127" s="2" t="s">
        <v>63</v>
      </c>
      <c r="F127" s="3" t="e">
        <f>IF(BE127="S",
IF(#REF!+BM127=2018,
IF(#REF!=1,"18-19/1",
IF(#REF!=2,"18-19/2",
IF(#REF!=3,"19-20/1",
IF(#REF!=4,"19-20/2",
IF(#REF!=5,"20-21/1",
IF(#REF!=6,"20-21/2",
IF(#REF!=7,"21-22/1",
IF(#REF!=8,"21-22/2","Hata1")))))))),
IF(#REF!+BM127=2019,
IF(#REF!=1,"19-20/1",
IF(#REF!=2,"19-20/2",
IF(#REF!=3,"20-21/1",
IF(#REF!=4,"20-21/2",
IF(#REF!=5,"21-22/1",
IF(#REF!=6,"21-22/2",
IF(#REF!=7,"22-23/1",
IF(#REF!=8,"22-23/2","Hata2")))))))),
IF(#REF!+BM127=2020,
IF(#REF!=1,"20-21/1",
IF(#REF!=2,"20-21/2",
IF(#REF!=3,"21-22/1",
IF(#REF!=4,"21-22/2",
IF(#REF!=5,"22-23/1",
IF(#REF!=6,"22-23/2",
IF(#REF!=7,"23-24/1",
IF(#REF!=8,"23-24/2","Hata3")))))))),
IF(#REF!+BM127=2021,
IF(#REF!=1,"21-22/1",
IF(#REF!=2,"21-22/2",
IF(#REF!=3,"22-23/1",
IF(#REF!=4,"22-23/2",
IF(#REF!=5,"23-24/1",
IF(#REF!=6,"23-24/2",
IF(#REF!=7,"24-25/1",
IF(#REF!=8,"24-25/2","Hata4")))))))),
IF(#REF!+BM127=2022,
IF(#REF!=1,"22-23/1",
IF(#REF!=2,"22-23/2",
IF(#REF!=3,"23-24/1",
IF(#REF!=4,"23-24/2",
IF(#REF!=5,"24-25/1",
IF(#REF!=6,"24-25/2",
IF(#REF!=7,"25-26/1",
IF(#REF!=8,"25-26/2","Hata5")))))))),
IF(#REF!+BM127=2023,
IF(#REF!=1,"23-24/1",
IF(#REF!=2,"23-24/2",
IF(#REF!=3,"24-25/1",
IF(#REF!=4,"24-25/2",
IF(#REF!=5,"25-26/1",
IF(#REF!=6,"25-26/2",
IF(#REF!=7,"26-27/1",
IF(#REF!=8,"26-27/2","Hata6")))))))),
)))))),
IF(BE127="T",
IF(#REF!+BM127=2018,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7" s="1" t="s">
        <v>68</v>
      </c>
      <c r="J127" s="1">
        <v>4234788</v>
      </c>
      <c r="N127" s="2">
        <v>4</v>
      </c>
      <c r="O127" s="6">
        <f t="shared" si="81"/>
        <v>2</v>
      </c>
      <c r="P127" s="2">
        <f t="shared" si="82"/>
        <v>2</v>
      </c>
      <c r="Q127" s="2">
        <v>0</v>
      </c>
      <c r="R127" s="2">
        <v>0</v>
      </c>
      <c r="S127" s="2">
        <v>2</v>
      </c>
      <c r="X127" s="3">
        <v>4</v>
      </c>
      <c r="Y127" s="1">
        <f>VLOOKUP($X127,[5]ölçme_sistemleri!I$1:L$65536,2,FALSE)</f>
        <v>0</v>
      </c>
      <c r="Z127" s="1">
        <f>VLOOKUP($X127,[5]ölçme_sistemleri!I$1:L$65536,3,FALSE)</f>
        <v>1</v>
      </c>
      <c r="AA127" s="1">
        <f>VLOOKUP($X127,[5]ölçme_sistemleri!I$1:L$65536,4,FALSE)</f>
        <v>1</v>
      </c>
      <c r="AB127" s="1">
        <f>$O127*[5]ölçme_sistemleri!J$13</f>
        <v>2</v>
      </c>
      <c r="AC127" s="1">
        <f>$O127*[5]ölçme_sistemleri!K$13</f>
        <v>4</v>
      </c>
      <c r="AD127" s="1">
        <f>$O127*[5]ölçme_sistemleri!L$13</f>
        <v>6</v>
      </c>
      <c r="AE127" s="1">
        <f t="shared" si="83"/>
        <v>0</v>
      </c>
      <c r="AF127" s="1">
        <f t="shared" si="84"/>
        <v>4</v>
      </c>
      <c r="AG127" s="1">
        <f t="shared" si="85"/>
        <v>6</v>
      </c>
      <c r="AH127" s="1">
        <f t="shared" si="86"/>
        <v>10</v>
      </c>
      <c r="AI127" s="1">
        <v>14</v>
      </c>
      <c r="AJ127" s="1">
        <f>VLOOKUP(X127,[5]ölçme_sistemleri!I$1:M$65536,5,FALSE)</f>
        <v>1</v>
      </c>
      <c r="AK127" s="1">
        <f t="shared" si="87"/>
        <v>140</v>
      </c>
      <c r="AL127" s="1">
        <f>AI127*4</f>
        <v>56</v>
      </c>
      <c r="AM127" s="1">
        <f>VLOOKUP(X127,[5]ölçme_sistemleri!I$1:N$65536,6,FALSE)</f>
        <v>2</v>
      </c>
      <c r="AN127" s="1">
        <v>2</v>
      </c>
      <c r="AO127" s="1">
        <f t="shared" si="88"/>
        <v>4</v>
      </c>
      <c r="AP127" s="1">
        <v>14</v>
      </c>
      <c r="AQ127" s="1">
        <f t="shared" si="59"/>
        <v>28</v>
      </c>
      <c r="AR127" s="1">
        <f t="shared" si="89"/>
        <v>98</v>
      </c>
      <c r="AS127" s="1">
        <f>IF(BE127="s",25,30)</f>
        <v>25</v>
      </c>
      <c r="AT127" s="1">
        <f t="shared" si="90"/>
        <v>4</v>
      </c>
      <c r="AU127" s="1">
        <f t="shared" si="60"/>
        <v>0</v>
      </c>
      <c r="AV127" s="1">
        <f t="shared" si="96"/>
        <v>0</v>
      </c>
      <c r="AW127" s="1">
        <f t="shared" si="97"/>
        <v>0</v>
      </c>
      <c r="AX127" s="1">
        <f t="shared" si="98"/>
        <v>0</v>
      </c>
      <c r="AY127" s="1">
        <f t="shared" si="91"/>
        <v>-10</v>
      </c>
      <c r="AZ127" s="1">
        <f t="shared" si="99"/>
        <v>0</v>
      </c>
      <c r="BA127" s="1">
        <f t="shared" si="92"/>
        <v>-56</v>
      </c>
      <c r="BB127" s="1">
        <f t="shared" si="100"/>
        <v>0</v>
      </c>
      <c r="BC127" s="1">
        <f t="shared" si="93"/>
        <v>-4</v>
      </c>
      <c r="BD127" s="1">
        <f t="shared" si="94"/>
        <v>0</v>
      </c>
      <c r="BE127" s="1" t="s">
        <v>65</v>
      </c>
      <c r="BF127" s="1">
        <f t="shared" ref="BF127:BF158" si="101">IF(BL127="A",0,IF(BE127="s",14*O127,IF(BE127="T",11*O127,"HATA")))</f>
        <v>28</v>
      </c>
      <c r="BG127" s="1">
        <f t="shared" ref="BG127:BG158" si="102">IF(BL127="Z",(BF127+BD127)*1.15,(BF127+BD127))</f>
        <v>28</v>
      </c>
      <c r="BH127" s="1">
        <f t="shared" si="95"/>
        <v>1</v>
      </c>
      <c r="BI127" s="1" t="e">
        <f>IF(BH127-#REF!=0,"DOĞRU","YANLIŞ")</f>
        <v>#REF!</v>
      </c>
      <c r="BJ127" s="1" t="e">
        <f>#REF!-BH127</f>
        <v>#REF!</v>
      </c>
      <c r="BK127" s="1">
        <v>1</v>
      </c>
      <c r="BM127" s="1">
        <v>0</v>
      </c>
      <c r="BO127" s="1">
        <v>3</v>
      </c>
      <c r="BT127" s="8">
        <f>R127*14</f>
        <v>0</v>
      </c>
      <c r="BU127" s="9"/>
      <c r="BV127" s="10"/>
      <c r="BW127" s="11"/>
      <c r="BX127" s="11"/>
      <c r="BY127" s="11"/>
      <c r="BZ127" s="11"/>
      <c r="CA127" s="11"/>
      <c r="CB127" s="12"/>
      <c r="CC127" s="13"/>
      <c r="CD127" s="14"/>
      <c r="CL127" s="11"/>
      <c r="CM127" s="11"/>
      <c r="CN127" s="11"/>
      <c r="CO127" s="11"/>
      <c r="CP127" s="11"/>
      <c r="CQ127" s="46"/>
      <c r="CR127" s="46"/>
      <c r="CS127" s="48"/>
      <c r="CT127" s="48"/>
      <c r="CU127" s="48"/>
      <c r="CV127" s="48"/>
      <c r="CW127" s="49"/>
      <c r="CX127" s="49"/>
    </row>
    <row r="128" spans="1:102" hidden="1" x14ac:dyDescent="0.25">
      <c r="A128" s="1" t="s">
        <v>359</v>
      </c>
      <c r="B128" s="1" t="s">
        <v>358</v>
      </c>
      <c r="C128" s="1" t="s">
        <v>358</v>
      </c>
      <c r="D128" s="2" t="s">
        <v>63</v>
      </c>
      <c r="E128" s="2" t="s">
        <v>63</v>
      </c>
      <c r="F128" s="3" t="e">
        <f>IF(BE128="S",
IF(#REF!+BM128=2018,
IF(#REF!=1,"18-19/1",
IF(#REF!=2,"18-19/2",
IF(#REF!=3,"19-20/1",
IF(#REF!=4,"19-20/2",
IF(#REF!=5,"20-21/1",
IF(#REF!=6,"20-21/2",
IF(#REF!=7,"21-22/1",
IF(#REF!=8,"21-22/2","Hata1")))))))),
IF(#REF!+BM128=2019,
IF(#REF!=1,"19-20/1",
IF(#REF!=2,"19-20/2",
IF(#REF!=3,"20-21/1",
IF(#REF!=4,"20-21/2",
IF(#REF!=5,"21-22/1",
IF(#REF!=6,"21-22/2",
IF(#REF!=7,"22-23/1",
IF(#REF!=8,"22-23/2","Hata2")))))))),
IF(#REF!+BM128=2020,
IF(#REF!=1,"20-21/1",
IF(#REF!=2,"20-21/2",
IF(#REF!=3,"21-22/1",
IF(#REF!=4,"21-22/2",
IF(#REF!=5,"22-23/1",
IF(#REF!=6,"22-23/2",
IF(#REF!=7,"23-24/1",
IF(#REF!=8,"23-24/2","Hata3")))))))),
IF(#REF!+BM128=2021,
IF(#REF!=1,"21-22/1",
IF(#REF!=2,"21-22/2",
IF(#REF!=3,"22-23/1",
IF(#REF!=4,"22-23/2",
IF(#REF!=5,"23-24/1",
IF(#REF!=6,"23-24/2",
IF(#REF!=7,"24-25/1",
IF(#REF!=8,"24-25/2","Hata4")))))))),
IF(#REF!+BM128=2022,
IF(#REF!=1,"22-23/1",
IF(#REF!=2,"22-23/2",
IF(#REF!=3,"23-24/1",
IF(#REF!=4,"23-24/2",
IF(#REF!=5,"24-25/1",
IF(#REF!=6,"24-25/2",
IF(#REF!=7,"25-26/1",
IF(#REF!=8,"25-26/2","Hata5")))))))),
IF(#REF!+BM128=2023,
IF(#REF!=1,"23-24/1",
IF(#REF!=2,"23-24/2",
IF(#REF!=3,"24-25/1",
IF(#REF!=4,"24-25/2",
IF(#REF!=5,"25-26/1",
IF(#REF!=6,"25-26/2",
IF(#REF!=7,"26-27/1",
IF(#REF!=8,"26-27/2","Hata6")))))))),
)))))),
IF(BE128="T",
IF(#REF!+BM128=2018,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8" s="1" t="s">
        <v>181</v>
      </c>
      <c r="L128" s="2">
        <v>4370</v>
      </c>
      <c r="N128" s="2">
        <v>1</v>
      </c>
      <c r="O128" s="6">
        <f t="shared" si="81"/>
        <v>1</v>
      </c>
      <c r="P128" s="2">
        <f t="shared" si="82"/>
        <v>1</v>
      </c>
      <c r="Q128" s="2">
        <v>1</v>
      </c>
      <c r="R128" s="2">
        <v>0</v>
      </c>
      <c r="S128" s="2">
        <v>0</v>
      </c>
      <c r="X128" s="3">
        <v>0</v>
      </c>
      <c r="Y128" s="1">
        <f>VLOOKUP(X128,[4]ölçme_sistemleri!I:L,2,FALSE)</f>
        <v>0</v>
      </c>
      <c r="Z128" s="1">
        <f>VLOOKUP(X128,[4]ölçme_sistemleri!I:L,3,FALSE)</f>
        <v>0</v>
      </c>
      <c r="AA128" s="1">
        <f>VLOOKUP(X128,[4]ölçme_sistemleri!I:L,4,FALSE)</f>
        <v>0</v>
      </c>
      <c r="AB128" s="1">
        <f>$O128*[4]ölçme_sistemleri!J$13</f>
        <v>1</v>
      </c>
      <c r="AC128" s="1">
        <f>$O128*[4]ölçme_sistemleri!K$13</f>
        <v>2</v>
      </c>
      <c r="AD128" s="1">
        <f>$O128*[4]ölçme_sistemleri!L$13</f>
        <v>3</v>
      </c>
      <c r="AE128" s="1">
        <f t="shared" si="83"/>
        <v>0</v>
      </c>
      <c r="AF128" s="1">
        <f t="shared" si="84"/>
        <v>0</v>
      </c>
      <c r="AG128" s="1">
        <f t="shared" si="85"/>
        <v>0</v>
      </c>
      <c r="AH128" s="1">
        <f t="shared" si="86"/>
        <v>0</v>
      </c>
      <c r="AI128" s="1">
        <v>14</v>
      </c>
      <c r="AJ128" s="1">
        <f>VLOOKUP(X128,[4]ölçme_sistemleri!I:M,5,FALSE)</f>
        <v>0</v>
      </c>
      <c r="AK128" s="1">
        <f t="shared" si="87"/>
        <v>0</v>
      </c>
      <c r="AL128" s="1">
        <f>(Q128+S128)*AI128</f>
        <v>14</v>
      </c>
      <c r="AM128" s="1">
        <f>VLOOKUP(X128,[4]ölçme_sistemleri!I:N,6,FALSE)</f>
        <v>0</v>
      </c>
      <c r="AN128" s="1">
        <v>2</v>
      </c>
      <c r="AO128" s="1">
        <f t="shared" si="88"/>
        <v>0</v>
      </c>
      <c r="AP128" s="1">
        <v>14</v>
      </c>
      <c r="AQ128" s="1">
        <f t="shared" si="59"/>
        <v>14</v>
      </c>
      <c r="AR128" s="1">
        <f t="shared" si="89"/>
        <v>28</v>
      </c>
      <c r="AS128" s="1">
        <f>IF(BE128="s",25,25)</f>
        <v>25</v>
      </c>
      <c r="AT128" s="1">
        <f t="shared" si="90"/>
        <v>1</v>
      </c>
      <c r="AU128" s="1">
        <f t="shared" si="60"/>
        <v>0</v>
      </c>
      <c r="AV128" s="1">
        <f t="shared" si="96"/>
        <v>0</v>
      </c>
      <c r="AW128" s="1">
        <f t="shared" si="97"/>
        <v>0</v>
      </c>
      <c r="AX128" s="1">
        <f t="shared" si="98"/>
        <v>0</v>
      </c>
      <c r="AY128" s="1">
        <f t="shared" si="91"/>
        <v>-3</v>
      </c>
      <c r="AZ128" s="1">
        <f t="shared" si="99"/>
        <v>0</v>
      </c>
      <c r="BA128" s="1">
        <f t="shared" si="92"/>
        <v>-14</v>
      </c>
      <c r="BB128" s="1">
        <f t="shared" si="100"/>
        <v>0</v>
      </c>
      <c r="BC128" s="1">
        <f t="shared" si="93"/>
        <v>0</v>
      </c>
      <c r="BD128" s="1">
        <f t="shared" si="94"/>
        <v>0</v>
      </c>
      <c r="BE128" s="1" t="s">
        <v>65</v>
      </c>
      <c r="BF128" s="1">
        <f t="shared" si="101"/>
        <v>14</v>
      </c>
      <c r="BG128" s="1">
        <f t="shared" si="102"/>
        <v>14</v>
      </c>
      <c r="BH128" s="1">
        <f t="shared" si="95"/>
        <v>0</v>
      </c>
      <c r="BI128" s="1" t="e">
        <f>IF(BH128-#REF!=0,"DOĞRU","YANLIŞ")</f>
        <v>#REF!</v>
      </c>
      <c r="BJ128" s="1" t="e">
        <f>#REF!-BH128</f>
        <v>#REF!</v>
      </c>
      <c r="BK128" s="1">
        <v>0</v>
      </c>
      <c r="BM128" s="1">
        <v>0</v>
      </c>
      <c r="BO128" s="1">
        <v>0</v>
      </c>
      <c r="BT128" s="8">
        <f t="shared" ref="BT128:BT134" si="103">R128*11</f>
        <v>0</v>
      </c>
      <c r="BU128" s="9"/>
      <c r="BV128" s="10"/>
      <c r="BW128" s="11"/>
      <c r="BX128" s="11"/>
      <c r="BY128" s="11"/>
      <c r="BZ128" s="11"/>
      <c r="CA128" s="11"/>
      <c r="CB128" s="12"/>
      <c r="CC128" s="13"/>
      <c r="CD128" s="14"/>
      <c r="CL128" s="11"/>
      <c r="CM128" s="11"/>
      <c r="CN128" s="11"/>
      <c r="CO128" s="11"/>
      <c r="CP128" s="11"/>
      <c r="CQ128" s="54"/>
      <c r="CR128" s="46"/>
      <c r="CS128" s="48"/>
      <c r="CT128" s="48"/>
      <c r="CU128" s="48"/>
      <c r="CV128" s="48"/>
      <c r="CW128" s="49"/>
      <c r="CX128" s="49"/>
    </row>
    <row r="129" spans="1:102" hidden="1" x14ac:dyDescent="0.25">
      <c r="A129" s="1" t="s">
        <v>343</v>
      </c>
      <c r="B129" s="1" t="s">
        <v>344</v>
      </c>
      <c r="C129" s="1" t="s">
        <v>344</v>
      </c>
      <c r="D129" s="2" t="s">
        <v>63</v>
      </c>
      <c r="E129" s="2" t="s">
        <v>63</v>
      </c>
      <c r="F129" s="3" t="e">
        <f>IF(BE129="S",
IF(#REF!+BM129=2018,
IF(#REF!=1,"18-19/1",
IF(#REF!=2,"18-19/2",
IF(#REF!=3,"19-20/1",
IF(#REF!=4,"19-20/2",
IF(#REF!=5,"20-21/1",
IF(#REF!=6,"20-21/2",
IF(#REF!=7,"21-22/1",
IF(#REF!=8,"21-22/2","Hata1")))))))),
IF(#REF!+BM129=2019,
IF(#REF!=1,"19-20/1",
IF(#REF!=2,"19-20/2",
IF(#REF!=3,"20-21/1",
IF(#REF!=4,"20-21/2",
IF(#REF!=5,"21-22/1",
IF(#REF!=6,"21-22/2",
IF(#REF!=7,"22-23/1",
IF(#REF!=8,"22-23/2","Hata2")))))))),
IF(#REF!+BM129=2020,
IF(#REF!=1,"20-21/1",
IF(#REF!=2,"20-21/2",
IF(#REF!=3,"21-22/1",
IF(#REF!=4,"21-22/2",
IF(#REF!=5,"22-23/1",
IF(#REF!=6,"22-23/2",
IF(#REF!=7,"23-24/1",
IF(#REF!=8,"23-24/2","Hata3")))))))),
IF(#REF!+BM129=2021,
IF(#REF!=1,"21-22/1",
IF(#REF!=2,"21-22/2",
IF(#REF!=3,"22-23/1",
IF(#REF!=4,"22-23/2",
IF(#REF!=5,"23-24/1",
IF(#REF!=6,"23-24/2",
IF(#REF!=7,"24-25/1",
IF(#REF!=8,"24-25/2","Hata4")))))))),
IF(#REF!+BM129=2022,
IF(#REF!=1,"22-23/1",
IF(#REF!=2,"22-23/2",
IF(#REF!=3,"23-24/1",
IF(#REF!=4,"23-24/2",
IF(#REF!=5,"24-25/1",
IF(#REF!=6,"24-25/2",
IF(#REF!=7,"25-26/1",
IF(#REF!=8,"25-26/2","Hata5")))))))),
IF(#REF!+BM129=2023,
IF(#REF!=1,"23-24/1",
IF(#REF!=2,"23-24/2",
IF(#REF!=3,"24-25/1",
IF(#REF!=4,"24-25/2",
IF(#REF!=5,"25-26/1",
IF(#REF!=6,"25-26/2",
IF(#REF!=7,"26-27/1",
IF(#REF!=8,"26-27/2","Hata6")))))))),
)))))),
IF(BE129="T",
IF(#REF!+BM129=2018,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IF(#REF!+BM129=2019,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IF(#REF!+BM129=2020,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IF(#REF!+BM129=2021,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IF(#REF!+BM129=2022,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IF(#REF!+BM129=2023,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29" s="1" t="s">
        <v>181</v>
      </c>
      <c r="L129" s="2">
        <v>3591</v>
      </c>
      <c r="N129" s="2">
        <v>4</v>
      </c>
      <c r="O129" s="6">
        <f t="shared" si="81"/>
        <v>4</v>
      </c>
      <c r="P129" s="2">
        <f t="shared" si="82"/>
        <v>4</v>
      </c>
      <c r="Q129" s="2">
        <v>4</v>
      </c>
      <c r="R129" s="2">
        <v>0</v>
      </c>
      <c r="S129" s="2">
        <v>0</v>
      </c>
      <c r="X129" s="3">
        <v>4</v>
      </c>
      <c r="Y129" s="1">
        <f>VLOOKUP(X129,[18]ölçme_sistemleri!I:L,2,FALSE)</f>
        <v>0</v>
      </c>
      <c r="Z129" s="1">
        <f>VLOOKUP(X129,[18]ölçme_sistemleri!I:L,3,FALSE)</f>
        <v>1</v>
      </c>
      <c r="AA129" s="1">
        <f>VLOOKUP(X129,[18]ölçme_sistemleri!I:L,4,FALSE)</f>
        <v>1</v>
      </c>
      <c r="AB129" s="1">
        <f>$O129*[18]ölçme_sistemleri!J$13</f>
        <v>4</v>
      </c>
      <c r="AC129" s="1">
        <f>$O129*[18]ölçme_sistemleri!K$13</f>
        <v>8</v>
      </c>
      <c r="AD129" s="1">
        <f>$O129*[18]ölçme_sistemleri!L$13</f>
        <v>12</v>
      </c>
      <c r="AE129" s="1">
        <f t="shared" si="83"/>
        <v>0</v>
      </c>
      <c r="AF129" s="1">
        <f t="shared" si="84"/>
        <v>8</v>
      </c>
      <c r="AG129" s="1">
        <f t="shared" si="85"/>
        <v>12</v>
      </c>
      <c r="AH129" s="1">
        <f t="shared" si="86"/>
        <v>20</v>
      </c>
      <c r="AI129" s="1">
        <v>11</v>
      </c>
      <c r="AJ129" s="1">
        <f>VLOOKUP(X129,[18]ölçme_sistemleri!I:M,5,FALSE)</f>
        <v>1</v>
      </c>
      <c r="AK129" s="1">
        <f t="shared" si="87"/>
        <v>220</v>
      </c>
      <c r="AL129" s="1">
        <f>((Q129+S129)*AI129)</f>
        <v>44</v>
      </c>
      <c r="AM129" s="1">
        <f>VLOOKUP(X129,[18]ölçme_sistemleri!I:N,6,FALSE)</f>
        <v>2</v>
      </c>
      <c r="AN129" s="1">
        <v>2</v>
      </c>
      <c r="AO129" s="1">
        <f t="shared" si="88"/>
        <v>4</v>
      </c>
      <c r="AP129" s="1">
        <v>11</v>
      </c>
      <c r="AQ129" s="1">
        <f t="shared" si="59"/>
        <v>44</v>
      </c>
      <c r="AR129" s="1">
        <f t="shared" si="89"/>
        <v>112</v>
      </c>
      <c r="AS129" s="1">
        <f t="shared" ref="AS129:AS134" si="104">IF(BE129="s",25,30)</f>
        <v>30</v>
      </c>
      <c r="AT129" s="1">
        <f t="shared" si="90"/>
        <v>4</v>
      </c>
      <c r="AU129" s="1">
        <f t="shared" si="60"/>
        <v>0</v>
      </c>
      <c r="AV129" s="1">
        <f t="shared" si="96"/>
        <v>0</v>
      </c>
      <c r="AW129" s="1">
        <f t="shared" si="97"/>
        <v>0</v>
      </c>
      <c r="AX129" s="1">
        <f t="shared" si="98"/>
        <v>6.4</v>
      </c>
      <c r="AY129" s="1">
        <f t="shared" si="91"/>
        <v>-13.6</v>
      </c>
      <c r="AZ129" s="1">
        <f t="shared" si="99"/>
        <v>0</v>
      </c>
      <c r="BA129" s="1">
        <f t="shared" si="92"/>
        <v>-44</v>
      </c>
      <c r="BB129" s="1">
        <f t="shared" si="100"/>
        <v>0</v>
      </c>
      <c r="BC129" s="1">
        <f t="shared" si="93"/>
        <v>-4</v>
      </c>
      <c r="BD129" s="1">
        <f t="shared" si="94"/>
        <v>6.4</v>
      </c>
      <c r="BE129" s="1" t="s">
        <v>60</v>
      </c>
      <c r="BF129" s="1">
        <f t="shared" si="101"/>
        <v>44</v>
      </c>
      <c r="BG129" s="1">
        <f t="shared" si="102"/>
        <v>50.4</v>
      </c>
      <c r="BH129" s="1">
        <f t="shared" si="95"/>
        <v>2</v>
      </c>
      <c r="BI129" s="1" t="e">
        <f>IF(BH129-#REF!=0,"DOĞRU","YANLIŞ")</f>
        <v>#REF!</v>
      </c>
      <c r="BJ129" s="1" t="e">
        <f>#REF!-BH129</f>
        <v>#REF!</v>
      </c>
      <c r="BK129" s="1">
        <v>0</v>
      </c>
      <c r="BM129" s="1">
        <v>0</v>
      </c>
      <c r="BT129" s="8">
        <f t="shared" si="103"/>
        <v>0</v>
      </c>
      <c r="BU129" s="9"/>
      <c r="BV129" s="10"/>
      <c r="BW129" s="11"/>
      <c r="BX129" s="11"/>
      <c r="BY129" s="11"/>
      <c r="BZ129" s="11"/>
      <c r="CA129" s="11"/>
      <c r="CB129" s="12"/>
      <c r="CC129" s="13"/>
      <c r="CD129" s="14"/>
      <c r="CL129" s="11"/>
      <c r="CM129" s="11"/>
      <c r="CN129" s="11"/>
      <c r="CO129" s="11"/>
      <c r="CP129" s="11"/>
      <c r="CQ129" s="54"/>
      <c r="CR129" s="55"/>
      <c r="CS129" s="54"/>
      <c r="CT129" s="46"/>
      <c r="CU129" s="48"/>
      <c r="CV129" s="48"/>
      <c r="CW129" s="49"/>
      <c r="CX129" s="49"/>
    </row>
    <row r="130" spans="1:102" hidden="1" x14ac:dyDescent="0.25">
      <c r="A130" s="1" t="s">
        <v>312</v>
      </c>
      <c r="B130" s="1" t="s">
        <v>313</v>
      </c>
      <c r="C130" s="1" t="s">
        <v>313</v>
      </c>
      <c r="D130" s="2" t="s">
        <v>63</v>
      </c>
      <c r="E130" s="2" t="s">
        <v>63</v>
      </c>
      <c r="F130" s="3" t="e">
        <f>IF(BE130="S",
IF(#REF!+BM130=2018,
IF(#REF!=1,"18-19/1",
IF(#REF!=2,"18-19/2",
IF(#REF!=3,"19-20/1",
IF(#REF!=4,"19-20/2",
IF(#REF!=5,"20-21/1",
IF(#REF!=6,"20-21/2",
IF(#REF!=7,"21-22/1",
IF(#REF!=8,"21-22/2","Hata1")))))))),
IF(#REF!+BM130=2019,
IF(#REF!=1,"19-20/1",
IF(#REF!=2,"19-20/2",
IF(#REF!=3,"20-21/1",
IF(#REF!=4,"20-21/2",
IF(#REF!=5,"21-22/1",
IF(#REF!=6,"21-22/2",
IF(#REF!=7,"22-23/1",
IF(#REF!=8,"22-23/2","Hata2")))))))),
IF(#REF!+BM130=2020,
IF(#REF!=1,"20-21/1",
IF(#REF!=2,"20-21/2",
IF(#REF!=3,"21-22/1",
IF(#REF!=4,"21-22/2",
IF(#REF!=5,"22-23/1",
IF(#REF!=6,"22-23/2",
IF(#REF!=7,"23-24/1",
IF(#REF!=8,"23-24/2","Hata3")))))))),
IF(#REF!+BM130=2021,
IF(#REF!=1,"21-22/1",
IF(#REF!=2,"21-22/2",
IF(#REF!=3,"22-23/1",
IF(#REF!=4,"22-23/2",
IF(#REF!=5,"23-24/1",
IF(#REF!=6,"23-24/2",
IF(#REF!=7,"24-25/1",
IF(#REF!=8,"24-25/2","Hata4")))))))),
IF(#REF!+BM130=2022,
IF(#REF!=1,"22-23/1",
IF(#REF!=2,"22-23/2",
IF(#REF!=3,"23-24/1",
IF(#REF!=4,"23-24/2",
IF(#REF!=5,"24-25/1",
IF(#REF!=6,"24-25/2",
IF(#REF!=7,"25-26/1",
IF(#REF!=8,"25-26/2","Hata5")))))))),
IF(#REF!+BM130=2023,
IF(#REF!=1,"23-24/1",
IF(#REF!=2,"23-24/2",
IF(#REF!=3,"24-25/1",
IF(#REF!=4,"24-25/2",
IF(#REF!=5,"25-26/1",
IF(#REF!=6,"25-26/2",
IF(#REF!=7,"26-27/1",
IF(#REF!=8,"26-27/2","Hata6")))))))),
)))))),
IF(BE130="T",
IF(#REF!+BM130=2018,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0" s="1" t="s">
        <v>181</v>
      </c>
      <c r="L130" s="2">
        <v>3557</v>
      </c>
      <c r="N130" s="2">
        <v>4</v>
      </c>
      <c r="O130" s="6">
        <f t="shared" si="81"/>
        <v>4</v>
      </c>
      <c r="P130" s="2">
        <f t="shared" si="82"/>
        <v>4</v>
      </c>
      <c r="Q130" s="2">
        <v>0</v>
      </c>
      <c r="R130" s="2">
        <v>0</v>
      </c>
      <c r="S130" s="2">
        <v>4</v>
      </c>
      <c r="X130" s="3">
        <v>4</v>
      </c>
      <c r="Y130" s="1">
        <f>VLOOKUP(X130,[18]ölçme_sistemleri!I:L,2,FALSE)</f>
        <v>0</v>
      </c>
      <c r="Z130" s="1">
        <f>VLOOKUP(X130,[18]ölçme_sistemleri!I:L,3,FALSE)</f>
        <v>1</v>
      </c>
      <c r="AA130" s="1">
        <f>VLOOKUP(X130,[18]ölçme_sistemleri!I:L,4,FALSE)</f>
        <v>1</v>
      </c>
      <c r="AB130" s="1">
        <f>$O130*[18]ölçme_sistemleri!J$13</f>
        <v>4</v>
      </c>
      <c r="AC130" s="1">
        <f>$O130*[18]ölçme_sistemleri!K$13</f>
        <v>8</v>
      </c>
      <c r="AD130" s="1">
        <f>$O130*[18]ölçme_sistemleri!L$13</f>
        <v>12</v>
      </c>
      <c r="AE130" s="1">
        <f t="shared" si="83"/>
        <v>0</v>
      </c>
      <c r="AF130" s="1">
        <f t="shared" si="84"/>
        <v>8</v>
      </c>
      <c r="AG130" s="1">
        <f t="shared" si="85"/>
        <v>12</v>
      </c>
      <c r="AH130" s="1">
        <f t="shared" si="86"/>
        <v>20</v>
      </c>
      <c r="AI130" s="1">
        <v>11</v>
      </c>
      <c r="AJ130" s="1">
        <f>VLOOKUP(X130,[18]ölçme_sistemleri!I:M,5,FALSE)</f>
        <v>1</v>
      </c>
      <c r="AK130" s="1">
        <f t="shared" si="87"/>
        <v>220</v>
      </c>
      <c r="AL130" s="1">
        <f>((Q130+S130)*AI130)</f>
        <v>44</v>
      </c>
      <c r="AM130" s="1">
        <f>VLOOKUP(X130,[18]ölçme_sistemleri!I:N,6,FALSE)</f>
        <v>2</v>
      </c>
      <c r="AN130" s="1">
        <v>2</v>
      </c>
      <c r="AO130" s="1">
        <f t="shared" si="88"/>
        <v>4</v>
      </c>
      <c r="AP130" s="1">
        <v>11</v>
      </c>
      <c r="AQ130" s="1">
        <f t="shared" ref="AQ130:AQ193" si="105">AP130*P130</f>
        <v>44</v>
      </c>
      <c r="AR130" s="1">
        <f t="shared" si="89"/>
        <v>112</v>
      </c>
      <c r="AS130" s="1">
        <f t="shared" si="104"/>
        <v>30</v>
      </c>
      <c r="AT130" s="1">
        <f t="shared" si="90"/>
        <v>4</v>
      </c>
      <c r="AU130" s="1">
        <f t="shared" ref="AU130:AU193" si="106">ROUND(AT130-N130,0)</f>
        <v>0</v>
      </c>
      <c r="AV130" s="1">
        <f t="shared" si="96"/>
        <v>0</v>
      </c>
      <c r="AW130" s="1">
        <f t="shared" si="97"/>
        <v>0</v>
      </c>
      <c r="AX130" s="1">
        <f t="shared" si="98"/>
        <v>6.4</v>
      </c>
      <c r="AY130" s="1">
        <f t="shared" si="91"/>
        <v>-13.6</v>
      </c>
      <c r="AZ130" s="1">
        <f t="shared" si="99"/>
        <v>0</v>
      </c>
      <c r="BA130" s="1">
        <f t="shared" si="92"/>
        <v>-44</v>
      </c>
      <c r="BB130" s="1">
        <f t="shared" si="100"/>
        <v>0</v>
      </c>
      <c r="BC130" s="1">
        <f t="shared" si="93"/>
        <v>-4</v>
      </c>
      <c r="BD130" s="1">
        <f t="shared" si="94"/>
        <v>6.4</v>
      </c>
      <c r="BE130" s="1" t="s">
        <v>60</v>
      </c>
      <c r="BF130" s="1">
        <f t="shared" si="101"/>
        <v>44</v>
      </c>
      <c r="BG130" s="1">
        <f t="shared" si="102"/>
        <v>50.4</v>
      </c>
      <c r="BH130" s="1">
        <f t="shared" si="95"/>
        <v>2</v>
      </c>
      <c r="BI130" s="1" t="e">
        <f>IF(BH130-#REF!=0,"DOĞRU","YANLIŞ")</f>
        <v>#REF!</v>
      </c>
      <c r="BJ130" s="1" t="e">
        <f>#REF!-BH130</f>
        <v>#REF!</v>
      </c>
      <c r="BK130" s="1">
        <v>0</v>
      </c>
      <c r="BM130" s="1">
        <v>0</v>
      </c>
      <c r="BT130" s="8">
        <f t="shared" si="103"/>
        <v>0</v>
      </c>
      <c r="BU130" s="9"/>
      <c r="BV130" s="10"/>
      <c r="BW130" s="11"/>
      <c r="BX130" s="11"/>
      <c r="BY130" s="11"/>
      <c r="BZ130" s="11"/>
      <c r="CA130" s="11"/>
      <c r="CB130" s="12"/>
      <c r="CC130" s="13"/>
      <c r="CD130" s="14"/>
      <c r="CL130" s="11"/>
      <c r="CM130" s="11"/>
      <c r="CN130" s="11"/>
      <c r="CO130" s="11"/>
      <c r="CP130" s="11"/>
      <c r="CQ130" s="54"/>
      <c r="CR130" s="55"/>
      <c r="CS130" s="54"/>
      <c r="CT130" s="55"/>
      <c r="CU130" s="48"/>
      <c r="CV130" s="48"/>
      <c r="CW130" s="49"/>
      <c r="CX130" s="49"/>
    </row>
    <row r="131" spans="1:102" x14ac:dyDescent="0.25">
      <c r="A131" s="88" t="s">
        <v>180</v>
      </c>
      <c r="B131" s="88" t="s">
        <v>134</v>
      </c>
      <c r="C131" s="1" t="s">
        <v>134</v>
      </c>
      <c r="D131" s="2" t="s">
        <v>63</v>
      </c>
      <c r="E131" s="2" t="s">
        <v>63</v>
      </c>
      <c r="F131" s="3" t="e">
        <f>IF(BE131="S",
IF(#REF!+BM131=2018,
IF(#REF!=1,"18-19/1",
IF(#REF!=2,"18-19/2",
IF(#REF!=3,"19-20/1",
IF(#REF!=4,"19-20/2",
IF(#REF!=5,"20-21/1",
IF(#REF!=6,"20-21/2",
IF(#REF!=7,"21-22/1",
IF(#REF!=8,"21-22/2","Hata1")))))))),
IF(#REF!+BM131=2019,
IF(#REF!=1,"19-20/1",
IF(#REF!=2,"19-20/2",
IF(#REF!=3,"20-21/1",
IF(#REF!=4,"20-21/2",
IF(#REF!=5,"21-22/1",
IF(#REF!=6,"21-22/2",
IF(#REF!=7,"22-23/1",
IF(#REF!=8,"22-23/2","Hata2")))))))),
IF(#REF!+BM131=2020,
IF(#REF!=1,"20-21/1",
IF(#REF!=2,"20-21/2",
IF(#REF!=3,"21-22/1",
IF(#REF!=4,"21-22/2",
IF(#REF!=5,"22-23/1",
IF(#REF!=6,"22-23/2",
IF(#REF!=7,"23-24/1",
IF(#REF!=8,"23-24/2","Hata3")))))))),
IF(#REF!+BM131=2021,
IF(#REF!=1,"21-22/1",
IF(#REF!=2,"21-22/2",
IF(#REF!=3,"22-23/1",
IF(#REF!=4,"22-23/2",
IF(#REF!=5,"23-24/1",
IF(#REF!=6,"23-24/2",
IF(#REF!=7,"24-25/1",
IF(#REF!=8,"24-25/2","Hata4")))))))),
IF(#REF!+BM131=2022,
IF(#REF!=1,"22-23/1",
IF(#REF!=2,"22-23/2",
IF(#REF!=3,"23-24/1",
IF(#REF!=4,"23-24/2",
IF(#REF!=5,"24-25/1",
IF(#REF!=6,"24-25/2",
IF(#REF!=7,"25-26/1",
IF(#REF!=8,"25-26/2","Hata5")))))))),
IF(#REF!+BM131=2023,
IF(#REF!=1,"23-24/1",
IF(#REF!=2,"23-24/2",
IF(#REF!=3,"24-25/1",
IF(#REF!=4,"24-25/2",
IF(#REF!=5,"25-26/1",
IF(#REF!=6,"25-26/2",
IF(#REF!=7,"26-27/1",
IF(#REF!=8,"26-27/2","Hata6")))))))),
)))))),
IF(BE131="T",
IF(#REF!+BM131=2018,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1" s="88" t="s">
        <v>181</v>
      </c>
      <c r="L131" s="2">
        <v>3607</v>
      </c>
      <c r="N131" s="87">
        <v>6</v>
      </c>
      <c r="O131" s="89">
        <f t="shared" si="81"/>
        <v>5</v>
      </c>
      <c r="P131" s="2">
        <f t="shared" si="82"/>
        <v>6</v>
      </c>
      <c r="Q131" s="2">
        <v>2</v>
      </c>
      <c r="R131" s="2">
        <v>2</v>
      </c>
      <c r="S131" s="2">
        <v>2</v>
      </c>
      <c r="X131" s="90">
        <v>2</v>
      </c>
      <c r="Y131" s="1">
        <f>VLOOKUP(X131,[18]ölçme_sistemleri!I:L,2,FALSE)</f>
        <v>0</v>
      </c>
      <c r="Z131" s="1">
        <f>VLOOKUP(X131,[18]ölçme_sistemleri!I:L,3,FALSE)</f>
        <v>2</v>
      </c>
      <c r="AA131" s="1">
        <f>VLOOKUP(X131,[18]ölçme_sistemleri!I:L,4,FALSE)</f>
        <v>1</v>
      </c>
      <c r="AB131" s="1">
        <f>$O131*[18]ölçme_sistemleri!J$13</f>
        <v>5</v>
      </c>
      <c r="AC131" s="1">
        <f>$O131*[18]ölçme_sistemleri!K$13</f>
        <v>10</v>
      </c>
      <c r="AD131" s="1">
        <f>$O131*[18]ölçme_sistemleri!L$13</f>
        <v>15</v>
      </c>
      <c r="AE131" s="1">
        <f t="shared" si="83"/>
        <v>0</v>
      </c>
      <c r="AF131" s="1">
        <f t="shared" si="84"/>
        <v>20</v>
      </c>
      <c r="AG131" s="1">
        <f t="shared" si="85"/>
        <v>15</v>
      </c>
      <c r="AH131" s="1">
        <f t="shared" si="86"/>
        <v>35</v>
      </c>
      <c r="AI131" s="1">
        <v>11</v>
      </c>
      <c r="AJ131" s="1">
        <f>VLOOKUP(X131,[18]ölçme_sistemleri!I:M,5,FALSE)</f>
        <v>2</v>
      </c>
      <c r="AK131" s="1">
        <f t="shared" si="87"/>
        <v>385</v>
      </c>
      <c r="AL131" s="1">
        <f>AI131*6</f>
        <v>66</v>
      </c>
      <c r="AM131" s="1">
        <f>VLOOKUP(X131,[18]ölçme_sistemleri!I:N,6,FALSE)</f>
        <v>3</v>
      </c>
      <c r="AN131" s="1">
        <v>2</v>
      </c>
      <c r="AO131" s="1">
        <f t="shared" si="88"/>
        <v>6</v>
      </c>
      <c r="AP131" s="1">
        <v>11</v>
      </c>
      <c r="AQ131" s="1">
        <f t="shared" si="105"/>
        <v>66</v>
      </c>
      <c r="AR131" s="1">
        <f t="shared" si="89"/>
        <v>173</v>
      </c>
      <c r="AS131" s="1">
        <f t="shared" si="104"/>
        <v>30</v>
      </c>
      <c r="AT131" s="1">
        <f t="shared" si="90"/>
        <v>6</v>
      </c>
      <c r="AU131" s="1">
        <f t="shared" si="106"/>
        <v>0</v>
      </c>
      <c r="AV131" s="1">
        <f t="shared" si="96"/>
        <v>0</v>
      </c>
      <c r="AW131" s="1">
        <f t="shared" si="97"/>
        <v>0</v>
      </c>
      <c r="AX131" s="1">
        <f t="shared" si="98"/>
        <v>8</v>
      </c>
      <c r="AY131" s="1">
        <f t="shared" si="91"/>
        <v>-27</v>
      </c>
      <c r="AZ131" s="1">
        <f t="shared" si="99"/>
        <v>0</v>
      </c>
      <c r="BA131" s="1">
        <f t="shared" si="92"/>
        <v>-66</v>
      </c>
      <c r="BB131" s="1">
        <f t="shared" si="100"/>
        <v>0</v>
      </c>
      <c r="BC131" s="1">
        <f t="shared" si="93"/>
        <v>-6</v>
      </c>
      <c r="BD131" s="1">
        <f t="shared" si="94"/>
        <v>8</v>
      </c>
      <c r="BE131" s="1" t="s">
        <v>60</v>
      </c>
      <c r="BF131" s="1">
        <f t="shared" si="101"/>
        <v>55</v>
      </c>
      <c r="BG131" s="1">
        <f t="shared" si="102"/>
        <v>63</v>
      </c>
      <c r="BH131" s="1">
        <f t="shared" si="95"/>
        <v>3</v>
      </c>
      <c r="BI131" s="1" t="e">
        <f>IF(BH131-#REF!=0,"DOĞRU","YANLIŞ")</f>
        <v>#REF!</v>
      </c>
      <c r="BJ131" s="1" t="e">
        <f>#REF!-BH131</f>
        <v>#REF!</v>
      </c>
      <c r="BK131" s="1">
        <v>1</v>
      </c>
      <c r="BM131" s="1">
        <v>0</v>
      </c>
      <c r="BT131" s="8">
        <f t="shared" si="103"/>
        <v>22</v>
      </c>
      <c r="BU131" s="17"/>
      <c r="BV131" s="18">
        <v>22</v>
      </c>
      <c r="BW131" s="19"/>
      <c r="BX131" s="19"/>
      <c r="BY131" s="19"/>
      <c r="BZ131" s="19" t="s">
        <v>442</v>
      </c>
      <c r="CA131" s="19"/>
      <c r="CB131" s="20"/>
      <c r="CC131" s="21" t="s">
        <v>443</v>
      </c>
      <c r="CD131" s="23" t="s">
        <v>444</v>
      </c>
      <c r="CE131" s="22"/>
      <c r="CL131" s="82"/>
      <c r="CM131" s="82"/>
      <c r="CN131" s="82"/>
      <c r="CO131" s="82"/>
      <c r="CP131" s="82" t="s">
        <v>442</v>
      </c>
      <c r="CQ131" s="84">
        <v>44281</v>
      </c>
      <c r="CR131" s="83" t="s">
        <v>501</v>
      </c>
      <c r="CS131" s="85">
        <v>44295</v>
      </c>
      <c r="CT131" s="91" t="s">
        <v>501</v>
      </c>
      <c r="CU131" s="54"/>
      <c r="CV131" s="48"/>
      <c r="CW131" s="49"/>
      <c r="CX131" s="49"/>
    </row>
    <row r="132" spans="1:102" hidden="1" x14ac:dyDescent="0.25">
      <c r="A132" s="1" t="s">
        <v>351</v>
      </c>
      <c r="B132" s="1" t="s">
        <v>352</v>
      </c>
      <c r="C132" s="1" t="s">
        <v>352</v>
      </c>
      <c r="D132" s="2" t="s">
        <v>63</v>
      </c>
      <c r="E132" s="2" t="s">
        <v>63</v>
      </c>
      <c r="F132" s="3" t="e">
        <f>IF(BE132="S",
IF(#REF!+BM132=2018,
IF(#REF!=1,"18-19/1",
IF(#REF!=2,"18-19/2",
IF(#REF!=3,"19-20/1",
IF(#REF!=4,"19-20/2",
IF(#REF!=5,"20-21/1",
IF(#REF!=6,"20-21/2",
IF(#REF!=7,"21-22/1",
IF(#REF!=8,"21-22/2","Hata1")))))))),
IF(#REF!+BM132=2019,
IF(#REF!=1,"19-20/1",
IF(#REF!=2,"19-20/2",
IF(#REF!=3,"20-21/1",
IF(#REF!=4,"20-21/2",
IF(#REF!=5,"21-22/1",
IF(#REF!=6,"21-22/2",
IF(#REF!=7,"22-23/1",
IF(#REF!=8,"22-23/2","Hata2")))))))),
IF(#REF!+BM132=2020,
IF(#REF!=1,"20-21/1",
IF(#REF!=2,"20-21/2",
IF(#REF!=3,"21-22/1",
IF(#REF!=4,"21-22/2",
IF(#REF!=5,"22-23/1",
IF(#REF!=6,"22-23/2",
IF(#REF!=7,"23-24/1",
IF(#REF!=8,"23-24/2","Hata3")))))))),
IF(#REF!+BM132=2021,
IF(#REF!=1,"21-22/1",
IF(#REF!=2,"21-22/2",
IF(#REF!=3,"22-23/1",
IF(#REF!=4,"22-23/2",
IF(#REF!=5,"23-24/1",
IF(#REF!=6,"23-24/2",
IF(#REF!=7,"24-25/1",
IF(#REF!=8,"24-25/2","Hata4")))))))),
IF(#REF!+BM132=2022,
IF(#REF!=1,"22-23/1",
IF(#REF!=2,"22-23/2",
IF(#REF!=3,"23-24/1",
IF(#REF!=4,"23-24/2",
IF(#REF!=5,"24-25/1",
IF(#REF!=6,"24-25/2",
IF(#REF!=7,"25-26/1",
IF(#REF!=8,"25-26/2","Hata5")))))))),
IF(#REF!+BM132=2023,
IF(#REF!=1,"23-24/1",
IF(#REF!=2,"23-24/2",
IF(#REF!=3,"24-25/1",
IF(#REF!=4,"24-25/2",
IF(#REF!=5,"25-26/1",
IF(#REF!=6,"25-26/2",
IF(#REF!=7,"26-27/1",
IF(#REF!=8,"26-27/2","Hata6")))))))),
)))))),
IF(BE132="T",
IF(#REF!+BM132=2018,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2" s="1" t="s">
        <v>181</v>
      </c>
      <c r="L132" s="2">
        <v>3592</v>
      </c>
      <c r="N132" s="2">
        <v>4</v>
      </c>
      <c r="O132" s="6">
        <f t="shared" si="81"/>
        <v>4</v>
      </c>
      <c r="P132" s="2">
        <f t="shared" si="82"/>
        <v>4</v>
      </c>
      <c r="Q132" s="2">
        <v>4</v>
      </c>
      <c r="R132" s="2">
        <v>0</v>
      </c>
      <c r="S132" s="2">
        <v>0</v>
      </c>
      <c r="X132" s="3">
        <v>4</v>
      </c>
      <c r="Y132" s="1">
        <f>VLOOKUP(X132,[18]ölçme_sistemleri!I:L,2,FALSE)</f>
        <v>0</v>
      </c>
      <c r="Z132" s="1">
        <f>VLOOKUP(X132,[18]ölçme_sistemleri!I:L,3,FALSE)</f>
        <v>1</v>
      </c>
      <c r="AA132" s="1">
        <f>VLOOKUP(X132,[18]ölçme_sistemleri!I:L,4,FALSE)</f>
        <v>1</v>
      </c>
      <c r="AB132" s="1">
        <f>$O132*[18]ölçme_sistemleri!J$13</f>
        <v>4</v>
      </c>
      <c r="AC132" s="1">
        <f>$O132*[18]ölçme_sistemleri!K$13</f>
        <v>8</v>
      </c>
      <c r="AD132" s="1">
        <f>$O132*[18]ölçme_sistemleri!L$13</f>
        <v>12</v>
      </c>
      <c r="AE132" s="1">
        <f t="shared" si="83"/>
        <v>0</v>
      </c>
      <c r="AF132" s="1">
        <f t="shared" si="84"/>
        <v>8</v>
      </c>
      <c r="AG132" s="1">
        <f t="shared" si="85"/>
        <v>12</v>
      </c>
      <c r="AH132" s="1">
        <f t="shared" si="86"/>
        <v>20</v>
      </c>
      <c r="AI132" s="1">
        <v>11</v>
      </c>
      <c r="AJ132" s="1">
        <f>VLOOKUP(X132,[18]ölçme_sistemleri!I:M,5,FALSE)</f>
        <v>1</v>
      </c>
      <c r="AK132" s="1">
        <f t="shared" si="87"/>
        <v>220</v>
      </c>
      <c r="AL132" s="1">
        <f>((Q132+S132)*AI132)</f>
        <v>44</v>
      </c>
      <c r="AM132" s="1">
        <f>VLOOKUP(X132,[18]ölçme_sistemleri!I:N,6,FALSE)</f>
        <v>2</v>
      </c>
      <c r="AN132" s="1">
        <v>2</v>
      </c>
      <c r="AO132" s="1">
        <f t="shared" si="88"/>
        <v>4</v>
      </c>
      <c r="AP132" s="1">
        <v>11</v>
      </c>
      <c r="AQ132" s="1">
        <f t="shared" si="105"/>
        <v>44</v>
      </c>
      <c r="AR132" s="1">
        <f t="shared" si="89"/>
        <v>112</v>
      </c>
      <c r="AS132" s="1">
        <f t="shared" si="104"/>
        <v>30</v>
      </c>
      <c r="AT132" s="1">
        <f t="shared" si="90"/>
        <v>4</v>
      </c>
      <c r="AU132" s="1">
        <f t="shared" si="106"/>
        <v>0</v>
      </c>
      <c r="AV132" s="1">
        <f t="shared" si="96"/>
        <v>0</v>
      </c>
      <c r="AW132" s="1">
        <f t="shared" si="97"/>
        <v>0</v>
      </c>
      <c r="AX132" s="1">
        <f t="shared" si="98"/>
        <v>6.4</v>
      </c>
      <c r="AY132" s="1">
        <f t="shared" si="91"/>
        <v>-13.6</v>
      </c>
      <c r="AZ132" s="1">
        <f t="shared" si="99"/>
        <v>0</v>
      </c>
      <c r="BA132" s="1">
        <f t="shared" si="92"/>
        <v>-44</v>
      </c>
      <c r="BB132" s="1">
        <f t="shared" si="100"/>
        <v>0</v>
      </c>
      <c r="BC132" s="1">
        <f t="shared" si="93"/>
        <v>-4</v>
      </c>
      <c r="BD132" s="1">
        <f t="shared" si="94"/>
        <v>6.4</v>
      </c>
      <c r="BE132" s="1" t="s">
        <v>60</v>
      </c>
      <c r="BF132" s="1">
        <f t="shared" si="101"/>
        <v>44</v>
      </c>
      <c r="BG132" s="1">
        <f t="shared" si="102"/>
        <v>50.4</v>
      </c>
      <c r="BH132" s="1">
        <f t="shared" si="95"/>
        <v>2</v>
      </c>
      <c r="BI132" s="1" t="e">
        <f>IF(BH132-#REF!=0,"DOĞRU","YANLIŞ")</f>
        <v>#REF!</v>
      </c>
      <c r="BJ132" s="1" t="e">
        <f>#REF!-BH132</f>
        <v>#REF!</v>
      </c>
      <c r="BK132" s="1">
        <v>0</v>
      </c>
      <c r="BM132" s="1">
        <v>0</v>
      </c>
      <c r="BT132" s="8">
        <f t="shared" si="103"/>
        <v>0</v>
      </c>
      <c r="BU132" s="9"/>
      <c r="BV132" s="10"/>
      <c r="BW132" s="11"/>
      <c r="BX132" s="11"/>
      <c r="BY132" s="11"/>
      <c r="BZ132" s="11"/>
      <c r="CA132" s="11"/>
      <c r="CB132" s="12"/>
      <c r="CC132" s="13"/>
      <c r="CD132" s="14"/>
      <c r="CL132" s="11"/>
      <c r="CM132" s="11"/>
      <c r="CN132" s="11"/>
      <c r="CO132" s="11"/>
      <c r="CP132" s="11"/>
      <c r="CQ132" s="49"/>
      <c r="CR132" s="46"/>
      <c r="CS132" s="48"/>
      <c r="CT132" s="48"/>
      <c r="CU132" s="48"/>
      <c r="CV132" s="48"/>
      <c r="CW132" s="49"/>
      <c r="CX132" s="49"/>
    </row>
    <row r="133" spans="1:102" hidden="1" x14ac:dyDescent="0.25">
      <c r="A133" s="1" t="s">
        <v>335</v>
      </c>
      <c r="B133" s="1" t="s">
        <v>128</v>
      </c>
      <c r="C133" s="1" t="s">
        <v>128</v>
      </c>
      <c r="D133" s="2" t="s">
        <v>63</v>
      </c>
      <c r="E133" s="2" t="s">
        <v>63</v>
      </c>
      <c r="F133" s="3" t="e">
        <f>IF(BE133="S",
IF(#REF!+BM133=2018,
IF(#REF!=1,"18-19/1",
IF(#REF!=2,"18-19/2",
IF(#REF!=3,"19-20/1",
IF(#REF!=4,"19-20/2",
IF(#REF!=5,"20-21/1",
IF(#REF!=6,"20-21/2",
IF(#REF!=7,"21-22/1",
IF(#REF!=8,"21-22/2","Hata1")))))))),
IF(#REF!+BM133=2019,
IF(#REF!=1,"19-20/1",
IF(#REF!=2,"19-20/2",
IF(#REF!=3,"20-21/1",
IF(#REF!=4,"20-21/2",
IF(#REF!=5,"21-22/1",
IF(#REF!=6,"21-22/2",
IF(#REF!=7,"22-23/1",
IF(#REF!=8,"22-23/2","Hata2")))))))),
IF(#REF!+BM133=2020,
IF(#REF!=1,"20-21/1",
IF(#REF!=2,"20-21/2",
IF(#REF!=3,"21-22/1",
IF(#REF!=4,"21-22/2",
IF(#REF!=5,"22-23/1",
IF(#REF!=6,"22-23/2",
IF(#REF!=7,"23-24/1",
IF(#REF!=8,"23-24/2","Hata3")))))))),
IF(#REF!+BM133=2021,
IF(#REF!=1,"21-22/1",
IF(#REF!=2,"21-22/2",
IF(#REF!=3,"22-23/1",
IF(#REF!=4,"22-23/2",
IF(#REF!=5,"23-24/1",
IF(#REF!=6,"23-24/2",
IF(#REF!=7,"24-25/1",
IF(#REF!=8,"24-25/2","Hata4")))))))),
IF(#REF!+BM133=2022,
IF(#REF!=1,"22-23/1",
IF(#REF!=2,"22-23/2",
IF(#REF!=3,"23-24/1",
IF(#REF!=4,"23-24/2",
IF(#REF!=5,"24-25/1",
IF(#REF!=6,"24-25/2",
IF(#REF!=7,"25-26/1",
IF(#REF!=8,"25-26/2","Hata5")))))))),
IF(#REF!+BM133=2023,
IF(#REF!=1,"23-24/1",
IF(#REF!=2,"23-24/2",
IF(#REF!=3,"24-25/1",
IF(#REF!=4,"24-25/2",
IF(#REF!=5,"25-26/1",
IF(#REF!=6,"25-26/2",
IF(#REF!=7,"26-27/1",
IF(#REF!=8,"26-27/2","Hata6")))))))),
)))))),
IF(BE133="T",
IF(#REF!+BM133=2018,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3" s="1" t="s">
        <v>181</v>
      </c>
      <c r="L133" s="2">
        <v>3589</v>
      </c>
      <c r="N133" s="2">
        <v>3</v>
      </c>
      <c r="O133" s="6">
        <f t="shared" si="81"/>
        <v>2</v>
      </c>
      <c r="P133" s="2">
        <f t="shared" si="82"/>
        <v>2</v>
      </c>
      <c r="Q133" s="2">
        <v>0</v>
      </c>
      <c r="R133" s="2">
        <v>0</v>
      </c>
      <c r="S133" s="2">
        <v>2</v>
      </c>
      <c r="X133" s="3">
        <v>4</v>
      </c>
      <c r="Y133" s="1">
        <f>VLOOKUP(X133,[18]ölçme_sistemleri!I:L,2,FALSE)</f>
        <v>0</v>
      </c>
      <c r="Z133" s="1">
        <f>VLOOKUP(X133,[18]ölçme_sistemleri!I:L,3,FALSE)</f>
        <v>1</v>
      </c>
      <c r="AA133" s="1">
        <f>VLOOKUP(X133,[18]ölçme_sistemleri!I:L,4,FALSE)</f>
        <v>1</v>
      </c>
      <c r="AB133" s="1">
        <f>$O133*[18]ölçme_sistemleri!J$13</f>
        <v>2</v>
      </c>
      <c r="AC133" s="1">
        <f>$O133*[18]ölçme_sistemleri!K$13</f>
        <v>4</v>
      </c>
      <c r="AD133" s="1">
        <f>$O133*[18]ölçme_sistemleri!L$13</f>
        <v>6</v>
      </c>
      <c r="AE133" s="1">
        <f t="shared" si="83"/>
        <v>0</v>
      </c>
      <c r="AF133" s="1">
        <f t="shared" si="84"/>
        <v>4</v>
      </c>
      <c r="AG133" s="1">
        <f t="shared" si="85"/>
        <v>6</v>
      </c>
      <c r="AH133" s="1">
        <f t="shared" si="86"/>
        <v>10</v>
      </c>
      <c r="AI133" s="1">
        <v>11</v>
      </c>
      <c r="AJ133" s="1">
        <f>VLOOKUP(X133,[18]ölçme_sistemleri!I:M,5,FALSE)</f>
        <v>1</v>
      </c>
      <c r="AK133" s="1">
        <f t="shared" si="87"/>
        <v>110</v>
      </c>
      <c r="AL133" s="1">
        <f>AI133*4</f>
        <v>44</v>
      </c>
      <c r="AM133" s="1">
        <f>VLOOKUP(X133,[18]ölçme_sistemleri!I:N,6,FALSE)</f>
        <v>2</v>
      </c>
      <c r="AN133" s="1">
        <v>2</v>
      </c>
      <c r="AO133" s="1">
        <f t="shared" si="88"/>
        <v>4</v>
      </c>
      <c r="AP133" s="1">
        <v>11</v>
      </c>
      <c r="AQ133" s="1">
        <f t="shared" si="105"/>
        <v>22</v>
      </c>
      <c r="AR133" s="1">
        <f t="shared" si="89"/>
        <v>80</v>
      </c>
      <c r="AS133" s="1">
        <f t="shared" si="104"/>
        <v>30</v>
      </c>
      <c r="AT133" s="1">
        <f t="shared" si="90"/>
        <v>3</v>
      </c>
      <c r="AU133" s="1">
        <f t="shared" si="106"/>
        <v>0</v>
      </c>
      <c r="AV133" s="1">
        <f t="shared" si="96"/>
        <v>0</v>
      </c>
      <c r="AW133" s="1">
        <f t="shared" si="97"/>
        <v>0</v>
      </c>
      <c r="AX133" s="1">
        <f t="shared" si="98"/>
        <v>3.2</v>
      </c>
      <c r="AY133" s="1">
        <f t="shared" si="91"/>
        <v>-6.8</v>
      </c>
      <c r="AZ133" s="1">
        <f t="shared" si="99"/>
        <v>0</v>
      </c>
      <c r="BA133" s="1">
        <f t="shared" si="92"/>
        <v>-44</v>
      </c>
      <c r="BB133" s="1">
        <f t="shared" si="100"/>
        <v>0</v>
      </c>
      <c r="BC133" s="1">
        <f t="shared" si="93"/>
        <v>-4</v>
      </c>
      <c r="BD133" s="1">
        <f t="shared" si="94"/>
        <v>3.2</v>
      </c>
      <c r="BE133" s="1" t="s">
        <v>60</v>
      </c>
      <c r="BF133" s="1">
        <f t="shared" si="101"/>
        <v>22</v>
      </c>
      <c r="BG133" s="1">
        <f t="shared" si="102"/>
        <v>25.2</v>
      </c>
      <c r="BH133" s="1">
        <f t="shared" si="95"/>
        <v>1</v>
      </c>
      <c r="BI133" s="1" t="e">
        <f>IF(BH133-#REF!=0,"DOĞRU","YANLIŞ")</f>
        <v>#REF!</v>
      </c>
      <c r="BJ133" s="1" t="e">
        <f>#REF!-BH133</f>
        <v>#REF!</v>
      </c>
      <c r="BK133" s="1">
        <v>0</v>
      </c>
      <c r="BM133" s="1">
        <v>0</v>
      </c>
      <c r="BT133" s="8">
        <f t="shared" si="103"/>
        <v>0</v>
      </c>
      <c r="BU133" s="9"/>
      <c r="BV133" s="10"/>
      <c r="BW133" s="11"/>
      <c r="BX133" s="11"/>
      <c r="BY133" s="11"/>
      <c r="BZ133" s="11"/>
      <c r="CA133" s="11"/>
      <c r="CB133" s="12"/>
      <c r="CC133" s="13"/>
      <c r="CD133" s="14"/>
      <c r="CL133" s="11"/>
      <c r="CM133" s="11"/>
      <c r="CN133" s="11"/>
      <c r="CO133" s="11"/>
      <c r="CP133" s="11"/>
      <c r="CQ133" s="49"/>
      <c r="CR133" s="46"/>
      <c r="CS133" s="49"/>
      <c r="CT133" s="48"/>
      <c r="CU133" s="49"/>
      <c r="CV133" s="48"/>
      <c r="CW133" s="49"/>
      <c r="CX133" s="49"/>
    </row>
    <row r="134" spans="1:102" hidden="1" x14ac:dyDescent="0.25">
      <c r="A134" s="1" t="s">
        <v>334</v>
      </c>
      <c r="B134" s="1" t="s">
        <v>130</v>
      </c>
      <c r="C134" s="1" t="s">
        <v>130</v>
      </c>
      <c r="D134" s="2" t="s">
        <v>63</v>
      </c>
      <c r="E134" s="2" t="s">
        <v>63</v>
      </c>
      <c r="F134" s="3" t="e">
        <f>IF(BE134="S",
IF(#REF!+BM134=2018,
IF(#REF!=1,"18-19/1",
IF(#REF!=2,"18-19/2",
IF(#REF!=3,"19-20/1",
IF(#REF!=4,"19-20/2",
IF(#REF!=5,"20-21/1",
IF(#REF!=6,"20-21/2",
IF(#REF!=7,"21-22/1",
IF(#REF!=8,"21-22/2","Hata1")))))))),
IF(#REF!+BM134=2019,
IF(#REF!=1,"19-20/1",
IF(#REF!=2,"19-20/2",
IF(#REF!=3,"20-21/1",
IF(#REF!=4,"20-21/2",
IF(#REF!=5,"21-22/1",
IF(#REF!=6,"21-22/2",
IF(#REF!=7,"22-23/1",
IF(#REF!=8,"22-23/2","Hata2")))))))),
IF(#REF!+BM134=2020,
IF(#REF!=1,"20-21/1",
IF(#REF!=2,"20-21/2",
IF(#REF!=3,"21-22/1",
IF(#REF!=4,"21-22/2",
IF(#REF!=5,"22-23/1",
IF(#REF!=6,"22-23/2",
IF(#REF!=7,"23-24/1",
IF(#REF!=8,"23-24/2","Hata3")))))))),
IF(#REF!+BM134=2021,
IF(#REF!=1,"21-22/1",
IF(#REF!=2,"21-22/2",
IF(#REF!=3,"22-23/1",
IF(#REF!=4,"22-23/2",
IF(#REF!=5,"23-24/1",
IF(#REF!=6,"23-24/2",
IF(#REF!=7,"24-25/1",
IF(#REF!=8,"24-25/2","Hata4")))))))),
IF(#REF!+BM134=2022,
IF(#REF!=1,"22-23/1",
IF(#REF!=2,"22-23/2",
IF(#REF!=3,"23-24/1",
IF(#REF!=4,"23-24/2",
IF(#REF!=5,"24-25/1",
IF(#REF!=6,"24-25/2",
IF(#REF!=7,"25-26/1",
IF(#REF!=8,"25-26/2","Hata5")))))))),
IF(#REF!+BM134=2023,
IF(#REF!=1,"23-24/1",
IF(#REF!=2,"23-24/2",
IF(#REF!=3,"24-25/1",
IF(#REF!=4,"24-25/2",
IF(#REF!=5,"25-26/1",
IF(#REF!=6,"25-26/2",
IF(#REF!=7,"26-27/1",
IF(#REF!=8,"26-27/2","Hata6")))))))),
)))))),
IF(BE134="T",
IF(#REF!+BM134=2018,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4" s="1" t="s">
        <v>181</v>
      </c>
      <c r="L134" s="2">
        <v>3584</v>
      </c>
      <c r="N134" s="2">
        <v>4</v>
      </c>
      <c r="O134" s="6">
        <f t="shared" si="81"/>
        <v>2</v>
      </c>
      <c r="P134" s="2">
        <f t="shared" si="82"/>
        <v>2</v>
      </c>
      <c r="Q134" s="2">
        <v>0</v>
      </c>
      <c r="R134" s="2">
        <v>0</v>
      </c>
      <c r="S134" s="2">
        <v>2</v>
      </c>
      <c r="X134" s="3">
        <v>4</v>
      </c>
      <c r="Y134" s="1">
        <f>VLOOKUP(X134,[18]ölçme_sistemleri!I:L,2,FALSE)</f>
        <v>0</v>
      </c>
      <c r="Z134" s="1">
        <f>VLOOKUP(X134,[18]ölçme_sistemleri!I:L,3,FALSE)</f>
        <v>1</v>
      </c>
      <c r="AA134" s="1">
        <f>VLOOKUP(X134,[18]ölçme_sistemleri!I:L,4,FALSE)</f>
        <v>1</v>
      </c>
      <c r="AB134" s="1">
        <f>$O134*[18]ölçme_sistemleri!J$13</f>
        <v>2</v>
      </c>
      <c r="AC134" s="1">
        <f>$O134*[18]ölçme_sistemleri!K$13</f>
        <v>4</v>
      </c>
      <c r="AD134" s="1">
        <f>$O134*[18]ölçme_sistemleri!L$13</f>
        <v>6</v>
      </c>
      <c r="AE134" s="1">
        <f t="shared" si="83"/>
        <v>0</v>
      </c>
      <c r="AF134" s="1">
        <f t="shared" si="84"/>
        <v>4</v>
      </c>
      <c r="AG134" s="1">
        <f t="shared" si="85"/>
        <v>6</v>
      </c>
      <c r="AH134" s="1">
        <f t="shared" si="86"/>
        <v>10</v>
      </c>
      <c r="AI134" s="1">
        <v>11</v>
      </c>
      <c r="AJ134" s="1">
        <f>VLOOKUP(X134,[18]ölçme_sistemleri!I:M,5,FALSE)</f>
        <v>1</v>
      </c>
      <c r="AK134" s="1">
        <f t="shared" si="87"/>
        <v>110</v>
      </c>
      <c r="AL134" s="1">
        <f>AI134*7</f>
        <v>77</v>
      </c>
      <c r="AM134" s="1">
        <f>VLOOKUP(X134,[18]ölçme_sistemleri!I:N,6,FALSE)</f>
        <v>2</v>
      </c>
      <c r="AN134" s="1">
        <v>2</v>
      </c>
      <c r="AO134" s="1">
        <f t="shared" si="88"/>
        <v>4</v>
      </c>
      <c r="AP134" s="1">
        <v>11</v>
      </c>
      <c r="AQ134" s="1">
        <f t="shared" si="105"/>
        <v>22</v>
      </c>
      <c r="AR134" s="1">
        <f t="shared" si="89"/>
        <v>113</v>
      </c>
      <c r="AS134" s="1">
        <f t="shared" si="104"/>
        <v>30</v>
      </c>
      <c r="AT134" s="1">
        <f t="shared" si="90"/>
        <v>4</v>
      </c>
      <c r="AU134" s="1">
        <f t="shared" si="106"/>
        <v>0</v>
      </c>
      <c r="AV134" s="1">
        <f t="shared" si="96"/>
        <v>0</v>
      </c>
      <c r="AW134" s="1">
        <f t="shared" si="97"/>
        <v>0</v>
      </c>
      <c r="AX134" s="1">
        <f t="shared" si="98"/>
        <v>3.2</v>
      </c>
      <c r="AY134" s="1">
        <f t="shared" si="91"/>
        <v>-6.8</v>
      </c>
      <c r="AZ134" s="1">
        <f t="shared" si="99"/>
        <v>0</v>
      </c>
      <c r="BA134" s="1">
        <f t="shared" si="92"/>
        <v>-77</v>
      </c>
      <c r="BB134" s="1">
        <f t="shared" si="100"/>
        <v>0</v>
      </c>
      <c r="BC134" s="1">
        <f t="shared" si="93"/>
        <v>-4</v>
      </c>
      <c r="BD134" s="1">
        <f t="shared" si="94"/>
        <v>3.2</v>
      </c>
      <c r="BE134" s="1" t="s">
        <v>60</v>
      </c>
      <c r="BF134" s="1">
        <f t="shared" si="101"/>
        <v>22</v>
      </c>
      <c r="BG134" s="1">
        <f t="shared" si="102"/>
        <v>25.2</v>
      </c>
      <c r="BH134" s="1">
        <f t="shared" si="95"/>
        <v>1</v>
      </c>
      <c r="BI134" s="1" t="e">
        <f>IF(BH134-#REF!=0,"DOĞRU","YANLIŞ")</f>
        <v>#REF!</v>
      </c>
      <c r="BJ134" s="1" t="e">
        <f>#REF!-BH134</f>
        <v>#REF!</v>
      </c>
      <c r="BK134" s="1">
        <v>0</v>
      </c>
      <c r="BM134" s="1">
        <v>0</v>
      </c>
      <c r="BT134" s="8">
        <f t="shared" si="103"/>
        <v>0</v>
      </c>
      <c r="BU134" s="9"/>
      <c r="BV134" s="10"/>
      <c r="BW134" s="11"/>
      <c r="BX134" s="11"/>
      <c r="BY134" s="11"/>
      <c r="BZ134" s="11"/>
      <c r="CA134" s="11"/>
      <c r="CB134" s="12"/>
      <c r="CC134" s="13"/>
      <c r="CD134" s="14"/>
      <c r="CL134" s="11"/>
      <c r="CM134" s="11"/>
      <c r="CN134" s="11"/>
      <c r="CO134" s="11"/>
      <c r="CP134" s="11"/>
      <c r="CQ134" s="54"/>
      <c r="CR134" s="55"/>
      <c r="CS134" s="48"/>
      <c r="CT134" s="48"/>
      <c r="CU134" s="48"/>
      <c r="CV134" s="48"/>
      <c r="CW134" s="49"/>
      <c r="CX134" s="49"/>
    </row>
    <row r="135" spans="1:102" hidden="1" x14ac:dyDescent="0.25">
      <c r="A135" s="1" t="s">
        <v>357</v>
      </c>
      <c r="B135" s="1" t="s">
        <v>358</v>
      </c>
      <c r="C135" s="1" t="s">
        <v>358</v>
      </c>
      <c r="D135" s="2" t="s">
        <v>63</v>
      </c>
      <c r="E135" s="2" t="s">
        <v>63</v>
      </c>
      <c r="F135" s="3" t="e">
        <f>IF(BE135="S",
IF(#REF!+BM135=2018,
IF(#REF!=1,"18-19/1",
IF(#REF!=2,"18-19/2",
IF(#REF!=3,"19-20/1",
IF(#REF!=4,"19-20/2",
IF(#REF!=5,"20-21/1",
IF(#REF!=6,"20-21/2",
IF(#REF!=7,"21-22/1",
IF(#REF!=8,"21-22/2","Hata1")))))))),
IF(#REF!+BM135=2019,
IF(#REF!=1,"19-20/1",
IF(#REF!=2,"19-20/2",
IF(#REF!=3,"20-21/1",
IF(#REF!=4,"20-21/2",
IF(#REF!=5,"21-22/1",
IF(#REF!=6,"21-22/2",
IF(#REF!=7,"22-23/1",
IF(#REF!=8,"22-23/2","Hata2")))))))),
IF(#REF!+BM135=2020,
IF(#REF!=1,"20-21/1",
IF(#REF!=2,"20-21/2",
IF(#REF!=3,"21-22/1",
IF(#REF!=4,"21-22/2",
IF(#REF!=5,"22-23/1",
IF(#REF!=6,"22-23/2",
IF(#REF!=7,"23-24/1",
IF(#REF!=8,"23-24/2","Hata3")))))))),
IF(#REF!+BM135=2021,
IF(#REF!=1,"21-22/1",
IF(#REF!=2,"21-22/2",
IF(#REF!=3,"22-23/1",
IF(#REF!=4,"22-23/2",
IF(#REF!=5,"23-24/1",
IF(#REF!=6,"23-24/2",
IF(#REF!=7,"24-25/1",
IF(#REF!=8,"24-25/2","Hata4")))))))),
IF(#REF!+BM135=2022,
IF(#REF!=1,"22-23/1",
IF(#REF!=2,"22-23/2",
IF(#REF!=3,"23-24/1",
IF(#REF!=4,"23-24/2",
IF(#REF!=5,"24-25/1",
IF(#REF!=6,"24-25/2",
IF(#REF!=7,"25-26/1",
IF(#REF!=8,"25-26/2","Hata5")))))))),
IF(#REF!+BM135=2023,
IF(#REF!=1,"23-24/1",
IF(#REF!=2,"23-24/2",
IF(#REF!=3,"24-25/1",
IF(#REF!=4,"24-25/2",
IF(#REF!=5,"25-26/1",
IF(#REF!=6,"25-26/2",
IF(#REF!=7,"26-27/1",
IF(#REF!=8,"26-27/2","Hata6")))))))),
)))))),
IF(BE135="T",
IF(#REF!+BM135=2018,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5" s="1" t="s">
        <v>135</v>
      </c>
      <c r="L135" s="2">
        <v>4366</v>
      </c>
      <c r="N135" s="2">
        <v>1</v>
      </c>
      <c r="O135" s="6">
        <f t="shared" si="81"/>
        <v>1</v>
      </c>
      <c r="P135" s="2">
        <f t="shared" si="82"/>
        <v>1</v>
      </c>
      <c r="Q135" s="2">
        <v>1</v>
      </c>
      <c r="R135" s="2">
        <v>0</v>
      </c>
      <c r="S135" s="2">
        <v>0</v>
      </c>
      <c r="X135" s="3">
        <v>0</v>
      </c>
      <c r="Y135" s="1">
        <f>VLOOKUP(X135,[4]ölçme_sistemleri!I:L,2,FALSE)</f>
        <v>0</v>
      </c>
      <c r="Z135" s="1">
        <f>VLOOKUP(X135,[4]ölçme_sistemleri!I:L,3,FALSE)</f>
        <v>0</v>
      </c>
      <c r="AA135" s="1">
        <f>VLOOKUP(X135,[4]ölçme_sistemleri!I:L,4,FALSE)</f>
        <v>0</v>
      </c>
      <c r="AB135" s="1">
        <f>$O135*[4]ölçme_sistemleri!J$13</f>
        <v>1</v>
      </c>
      <c r="AC135" s="1">
        <f>$O135*[4]ölçme_sistemleri!K$13</f>
        <v>2</v>
      </c>
      <c r="AD135" s="1">
        <f>$O135*[4]ölçme_sistemleri!L$13</f>
        <v>3</v>
      </c>
      <c r="AE135" s="1">
        <f t="shared" si="83"/>
        <v>0</v>
      </c>
      <c r="AF135" s="1">
        <f t="shared" si="84"/>
        <v>0</v>
      </c>
      <c r="AG135" s="1">
        <f t="shared" si="85"/>
        <v>0</v>
      </c>
      <c r="AH135" s="1">
        <f t="shared" si="86"/>
        <v>0</v>
      </c>
      <c r="AI135" s="1">
        <v>14</v>
      </c>
      <c r="AJ135" s="1">
        <f>VLOOKUP(X135,[4]ölçme_sistemleri!I:M,5,FALSE)</f>
        <v>0</v>
      </c>
      <c r="AK135" s="1">
        <f t="shared" si="87"/>
        <v>0</v>
      </c>
      <c r="AL135" s="1">
        <f>(Q135+S135)*AI135</f>
        <v>14</v>
      </c>
      <c r="AM135" s="1">
        <f>VLOOKUP(X135,[4]ölçme_sistemleri!I:N,6,FALSE)</f>
        <v>0</v>
      </c>
      <c r="AN135" s="1">
        <v>2</v>
      </c>
      <c r="AO135" s="1">
        <f t="shared" si="88"/>
        <v>0</v>
      </c>
      <c r="AP135" s="1">
        <v>14</v>
      </c>
      <c r="AQ135" s="1">
        <f t="shared" si="105"/>
        <v>14</v>
      </c>
      <c r="AR135" s="1">
        <f t="shared" si="89"/>
        <v>28</v>
      </c>
      <c r="AS135" s="1">
        <f>IF(BE135="s",25,25)</f>
        <v>25</v>
      </c>
      <c r="AT135" s="1">
        <f t="shared" si="90"/>
        <v>1</v>
      </c>
      <c r="AU135" s="1">
        <f t="shared" si="106"/>
        <v>0</v>
      </c>
      <c r="AV135" s="1">
        <f t="shared" si="96"/>
        <v>0</v>
      </c>
      <c r="AW135" s="1">
        <f t="shared" si="97"/>
        <v>0</v>
      </c>
      <c r="AX135" s="1">
        <f t="shared" si="98"/>
        <v>0</v>
      </c>
      <c r="AY135" s="1">
        <f t="shared" si="91"/>
        <v>-3</v>
      </c>
      <c r="AZ135" s="1">
        <f t="shared" si="99"/>
        <v>0</v>
      </c>
      <c r="BA135" s="1">
        <f t="shared" si="92"/>
        <v>-14</v>
      </c>
      <c r="BB135" s="1">
        <f t="shared" si="100"/>
        <v>0</v>
      </c>
      <c r="BC135" s="1">
        <f t="shared" si="93"/>
        <v>0</v>
      </c>
      <c r="BD135" s="1">
        <f t="shared" si="94"/>
        <v>0</v>
      </c>
      <c r="BE135" s="1" t="s">
        <v>65</v>
      </c>
      <c r="BF135" s="1">
        <f t="shared" si="101"/>
        <v>14</v>
      </c>
      <c r="BG135" s="1">
        <f t="shared" si="102"/>
        <v>14</v>
      </c>
      <c r="BH135" s="1">
        <f t="shared" si="95"/>
        <v>0</v>
      </c>
      <c r="BI135" s="1" t="e">
        <f>IF(BH135-#REF!=0,"DOĞRU","YANLIŞ")</f>
        <v>#REF!</v>
      </c>
      <c r="BJ135" s="1" t="e">
        <f>#REF!-BH135</f>
        <v>#REF!</v>
      </c>
      <c r="BK135" s="1">
        <v>0</v>
      </c>
      <c r="BM135" s="1">
        <v>0</v>
      </c>
      <c r="BO135" s="1">
        <v>0</v>
      </c>
      <c r="BT135" s="8">
        <f t="shared" ref="BT135:BT166" si="107">R135*14</f>
        <v>0</v>
      </c>
      <c r="BU135" s="9"/>
      <c r="BV135" s="10"/>
      <c r="BW135" s="11"/>
      <c r="BX135" s="11"/>
      <c r="BY135" s="11"/>
      <c r="BZ135" s="11"/>
      <c r="CA135" s="11"/>
      <c r="CB135" s="12"/>
      <c r="CC135" s="13"/>
      <c r="CD135" s="14"/>
      <c r="CL135" s="11"/>
      <c r="CM135" s="11"/>
      <c r="CN135" s="11"/>
      <c r="CO135" s="11"/>
      <c r="CP135" s="11"/>
      <c r="CQ135" s="46"/>
      <c r="CR135" s="46"/>
      <c r="CS135" s="48"/>
      <c r="CT135" s="48"/>
      <c r="CU135" s="48"/>
      <c r="CV135" s="48"/>
      <c r="CW135" s="49"/>
      <c r="CX135" s="49"/>
    </row>
    <row r="136" spans="1:102" hidden="1" x14ac:dyDescent="0.25">
      <c r="A136" s="1" t="s">
        <v>365</v>
      </c>
      <c r="B136" s="1" t="s">
        <v>366</v>
      </c>
      <c r="C136" s="1" t="s">
        <v>366</v>
      </c>
      <c r="D136" s="2" t="s">
        <v>63</v>
      </c>
      <c r="E136" s="2" t="s">
        <v>63</v>
      </c>
      <c r="F136" s="3" t="e">
        <f>IF(BE136="S",
IF(#REF!+BM136=2018,
IF(#REF!=1,"18-19/1",
IF(#REF!=2,"18-19/2",
IF(#REF!=3,"19-20/1",
IF(#REF!=4,"19-20/2",
IF(#REF!=5,"20-21/1",
IF(#REF!=6,"20-21/2",
IF(#REF!=7,"21-22/1",
IF(#REF!=8,"21-22/2","Hata1")))))))),
IF(#REF!+BM136=2019,
IF(#REF!=1,"19-20/1",
IF(#REF!=2,"19-20/2",
IF(#REF!=3,"20-21/1",
IF(#REF!=4,"20-21/2",
IF(#REF!=5,"21-22/1",
IF(#REF!=6,"21-22/2",
IF(#REF!=7,"22-23/1",
IF(#REF!=8,"22-23/2","Hata2")))))))),
IF(#REF!+BM136=2020,
IF(#REF!=1,"20-21/1",
IF(#REF!=2,"20-21/2",
IF(#REF!=3,"21-22/1",
IF(#REF!=4,"21-22/2",
IF(#REF!=5,"22-23/1",
IF(#REF!=6,"22-23/2",
IF(#REF!=7,"23-24/1",
IF(#REF!=8,"23-24/2","Hata3")))))))),
IF(#REF!+BM136=2021,
IF(#REF!=1,"21-22/1",
IF(#REF!=2,"21-22/2",
IF(#REF!=3,"22-23/1",
IF(#REF!=4,"22-23/2",
IF(#REF!=5,"23-24/1",
IF(#REF!=6,"23-24/2",
IF(#REF!=7,"24-25/1",
IF(#REF!=8,"24-25/2","Hata4")))))))),
IF(#REF!+BM136=2022,
IF(#REF!=1,"22-23/1",
IF(#REF!=2,"22-23/2",
IF(#REF!=3,"23-24/1",
IF(#REF!=4,"23-24/2",
IF(#REF!=5,"24-25/1",
IF(#REF!=6,"24-25/2",
IF(#REF!=7,"25-26/1",
IF(#REF!=8,"25-26/2","Hata5")))))))),
IF(#REF!+BM136=2023,
IF(#REF!=1,"23-24/1",
IF(#REF!=2,"23-24/2",
IF(#REF!=3,"24-25/1",
IF(#REF!=4,"24-25/2",
IF(#REF!=5,"25-26/1",
IF(#REF!=6,"25-26/2",
IF(#REF!=7,"26-27/1",
IF(#REF!=8,"26-27/2","Hata6")))))))),
)))))),
IF(BE136="T",
IF(#REF!+BM136=2018,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6" s="1" t="s">
        <v>135</v>
      </c>
      <c r="N136" s="2">
        <v>4</v>
      </c>
      <c r="O136" s="6">
        <f t="shared" si="81"/>
        <v>3</v>
      </c>
      <c r="P136" s="2">
        <f t="shared" si="82"/>
        <v>3</v>
      </c>
      <c r="Q136" s="2">
        <v>0</v>
      </c>
      <c r="R136" s="2">
        <v>0</v>
      </c>
      <c r="S136" s="2">
        <v>3</v>
      </c>
      <c r="X136" s="3">
        <v>2</v>
      </c>
      <c r="Y136" s="1">
        <f>VLOOKUP(X136,[4]ölçme_sistemleri!I:L,2,FALSE)</f>
        <v>0</v>
      </c>
      <c r="Z136" s="1">
        <f>VLOOKUP(X136,[4]ölçme_sistemleri!I:L,3,FALSE)</f>
        <v>2</v>
      </c>
      <c r="AA136" s="1">
        <f>VLOOKUP(X136,[4]ölçme_sistemleri!I:L,4,FALSE)</f>
        <v>1</v>
      </c>
      <c r="AB136" s="1">
        <f>$O136*[4]ölçme_sistemleri!J$13</f>
        <v>3</v>
      </c>
      <c r="AC136" s="1">
        <f>$O136*[4]ölçme_sistemleri!K$13</f>
        <v>6</v>
      </c>
      <c r="AD136" s="1">
        <f>$O136*[4]ölçme_sistemleri!L$13</f>
        <v>9</v>
      </c>
      <c r="AE136" s="1">
        <f t="shared" si="83"/>
        <v>0</v>
      </c>
      <c r="AF136" s="1">
        <f t="shared" si="84"/>
        <v>12</v>
      </c>
      <c r="AG136" s="1">
        <f t="shared" si="85"/>
        <v>9</v>
      </c>
      <c r="AH136" s="1">
        <f t="shared" si="86"/>
        <v>21</v>
      </c>
      <c r="AI136" s="1">
        <v>14</v>
      </c>
      <c r="AJ136" s="1">
        <f>VLOOKUP(X136,[4]ölçme_sistemleri!I:M,5,FALSE)</f>
        <v>2</v>
      </c>
      <c r="AK136" s="1">
        <f t="shared" si="87"/>
        <v>294</v>
      </c>
      <c r="AL136" s="1">
        <f>(Q136+S136)*AI136</f>
        <v>42</v>
      </c>
      <c r="AM136" s="1">
        <f>VLOOKUP(X136,[4]ölçme_sistemleri!I:N,6,FALSE)</f>
        <v>3</v>
      </c>
      <c r="AN136" s="1">
        <v>2</v>
      </c>
      <c r="AO136" s="1">
        <f t="shared" si="88"/>
        <v>6</v>
      </c>
      <c r="AP136" s="1">
        <v>14</v>
      </c>
      <c r="AQ136" s="1">
        <f t="shared" si="105"/>
        <v>42</v>
      </c>
      <c r="AR136" s="1">
        <f t="shared" si="89"/>
        <v>111</v>
      </c>
      <c r="AS136" s="1">
        <f>IF(BE136="s",25,25)</f>
        <v>25</v>
      </c>
      <c r="AT136" s="1">
        <f t="shared" si="90"/>
        <v>4</v>
      </c>
      <c r="AU136" s="1">
        <f t="shared" si="106"/>
        <v>0</v>
      </c>
      <c r="AV136" s="1">
        <f t="shared" si="96"/>
        <v>0</v>
      </c>
      <c r="AW136" s="1">
        <f t="shared" si="97"/>
        <v>0</v>
      </c>
      <c r="AX136" s="1">
        <f t="shared" si="98"/>
        <v>0</v>
      </c>
      <c r="AY136" s="1">
        <f t="shared" si="91"/>
        <v>-21</v>
      </c>
      <c r="AZ136" s="1">
        <f t="shared" si="99"/>
        <v>0</v>
      </c>
      <c r="BA136" s="1">
        <f t="shared" si="92"/>
        <v>-42</v>
      </c>
      <c r="BB136" s="1">
        <f t="shared" si="100"/>
        <v>0</v>
      </c>
      <c r="BC136" s="1">
        <f t="shared" si="93"/>
        <v>-6</v>
      </c>
      <c r="BD136" s="1">
        <f t="shared" si="94"/>
        <v>0</v>
      </c>
      <c r="BE136" s="1" t="s">
        <v>65</v>
      </c>
      <c r="BF136" s="1">
        <f t="shared" si="101"/>
        <v>42</v>
      </c>
      <c r="BG136" s="1">
        <f t="shared" si="102"/>
        <v>42</v>
      </c>
      <c r="BH136" s="1">
        <f t="shared" si="95"/>
        <v>1</v>
      </c>
      <c r="BI136" s="1" t="e">
        <f>IF(BH136-#REF!=0,"DOĞRU","YANLIŞ")</f>
        <v>#REF!</v>
      </c>
      <c r="BJ136" s="1" t="e">
        <f>#REF!-BH136</f>
        <v>#REF!</v>
      </c>
      <c r="BK136" s="1">
        <v>0</v>
      </c>
      <c r="BM136" s="1">
        <v>0</v>
      </c>
      <c r="BT136" s="8">
        <f t="shared" si="107"/>
        <v>0</v>
      </c>
      <c r="BU136" s="9"/>
      <c r="BV136" s="10"/>
      <c r="BW136" s="11"/>
      <c r="BX136" s="11"/>
      <c r="BY136" s="11"/>
      <c r="BZ136" s="11"/>
      <c r="CA136" s="11"/>
      <c r="CB136" s="12"/>
      <c r="CC136" s="13"/>
      <c r="CD136" s="14"/>
      <c r="CL136" s="11"/>
      <c r="CM136" s="11"/>
      <c r="CN136" s="11"/>
      <c r="CO136" s="11"/>
      <c r="CP136" s="11"/>
      <c r="CQ136" s="46"/>
      <c r="CR136" s="46"/>
      <c r="CS136" s="48"/>
      <c r="CT136" s="48"/>
      <c r="CU136" s="48"/>
      <c r="CV136" s="48"/>
      <c r="CW136" s="49"/>
      <c r="CX136" s="49"/>
    </row>
    <row r="137" spans="1:102" hidden="1" x14ac:dyDescent="0.25">
      <c r="A137" s="1" t="s">
        <v>198</v>
      </c>
      <c r="B137" s="1" t="s">
        <v>199</v>
      </c>
      <c r="C137" s="1" t="s">
        <v>199</v>
      </c>
      <c r="D137" s="2" t="s">
        <v>63</v>
      </c>
      <c r="E137" s="2" t="s">
        <v>63</v>
      </c>
      <c r="F137" s="3" t="e">
        <f>IF(BE137="S",
IF(#REF!+BM137=2018,
IF(#REF!=1,"18-19/1",
IF(#REF!=2,"18-19/2",
IF(#REF!=3,"19-20/1",
IF(#REF!=4,"19-20/2",
IF(#REF!=5,"20-21/1",
IF(#REF!=6,"20-21/2",
IF(#REF!=7,"21-22/1",
IF(#REF!=8,"21-22/2","Hata1")))))))),
IF(#REF!+BM137=2019,
IF(#REF!=1,"19-20/1",
IF(#REF!=2,"19-20/2",
IF(#REF!=3,"20-21/1",
IF(#REF!=4,"20-21/2",
IF(#REF!=5,"21-22/1",
IF(#REF!=6,"21-22/2",
IF(#REF!=7,"22-23/1",
IF(#REF!=8,"22-23/2","Hata2")))))))),
IF(#REF!+BM137=2020,
IF(#REF!=1,"20-21/1",
IF(#REF!=2,"20-21/2",
IF(#REF!=3,"21-22/1",
IF(#REF!=4,"21-22/2",
IF(#REF!=5,"22-23/1",
IF(#REF!=6,"22-23/2",
IF(#REF!=7,"23-24/1",
IF(#REF!=8,"23-24/2","Hata3")))))))),
IF(#REF!+BM137=2021,
IF(#REF!=1,"21-22/1",
IF(#REF!=2,"21-22/2",
IF(#REF!=3,"22-23/1",
IF(#REF!=4,"22-23/2",
IF(#REF!=5,"23-24/1",
IF(#REF!=6,"23-24/2",
IF(#REF!=7,"24-25/1",
IF(#REF!=8,"24-25/2","Hata4")))))))),
IF(#REF!+BM137=2022,
IF(#REF!=1,"22-23/1",
IF(#REF!=2,"22-23/2",
IF(#REF!=3,"23-24/1",
IF(#REF!=4,"23-24/2",
IF(#REF!=5,"24-25/1",
IF(#REF!=6,"24-25/2",
IF(#REF!=7,"25-26/1",
IF(#REF!=8,"25-26/2","Hata5")))))))),
IF(#REF!+BM137=2023,
IF(#REF!=1,"23-24/1",
IF(#REF!=2,"23-24/2",
IF(#REF!=3,"24-25/1",
IF(#REF!=4,"24-25/2",
IF(#REF!=5,"25-26/1",
IF(#REF!=6,"25-26/2",
IF(#REF!=7,"26-27/1",
IF(#REF!=8,"26-27/2","Hata6")))))))),
)))))),
IF(BE137="T",
IF(#REF!+BM137=2018,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7" s="1" t="s">
        <v>135</v>
      </c>
      <c r="N137" s="2">
        <v>5</v>
      </c>
      <c r="O137" s="6">
        <f t="shared" si="81"/>
        <v>3</v>
      </c>
      <c r="P137" s="2">
        <f t="shared" si="82"/>
        <v>3</v>
      </c>
      <c r="Q137" s="2">
        <v>3</v>
      </c>
      <c r="R137" s="2">
        <v>0</v>
      </c>
      <c r="S137" s="2">
        <v>0</v>
      </c>
      <c r="X137" s="3">
        <v>3</v>
      </c>
      <c r="Y137" s="1">
        <f>VLOOKUP(X137,[19]ölçme_sistemleri!I:L,2,FALSE)</f>
        <v>2</v>
      </c>
      <c r="Z137" s="1">
        <f>VLOOKUP(X137,[19]ölçme_sistemleri!I:L,3,FALSE)</f>
        <v>1</v>
      </c>
      <c r="AA137" s="1">
        <f>VLOOKUP(X137,[19]ölçme_sistemleri!I:L,4,FALSE)</f>
        <v>1</v>
      </c>
      <c r="AB137" s="1">
        <f>$O137*[19]ölçme_sistemleri!$J$13</f>
        <v>3</v>
      </c>
      <c r="AC137" s="1">
        <f>$O137*[19]ölçme_sistemleri!$K$13</f>
        <v>6</v>
      </c>
      <c r="AD137" s="1">
        <f>$O137*[19]ölçme_sistemleri!$L$13</f>
        <v>9</v>
      </c>
      <c r="AE137" s="1">
        <f t="shared" si="83"/>
        <v>6</v>
      </c>
      <c r="AF137" s="1">
        <f t="shared" si="84"/>
        <v>6</v>
      </c>
      <c r="AG137" s="1">
        <f t="shared" si="85"/>
        <v>9</v>
      </c>
      <c r="AH137" s="1">
        <f t="shared" si="86"/>
        <v>21</v>
      </c>
      <c r="AI137" s="1">
        <v>14</v>
      </c>
      <c r="AJ137" s="1">
        <f>VLOOKUP(X137,[19]ölçme_sistemleri!I:M,5,FALSE)</f>
        <v>3</v>
      </c>
      <c r="AK137" s="1">
        <f t="shared" si="87"/>
        <v>294</v>
      </c>
      <c r="AL137" s="1">
        <f>AI137*4</f>
        <v>56</v>
      </c>
      <c r="AM137" s="1">
        <f>VLOOKUP(X137,[19]ölçme_sistemleri!I:N,6,FALSE)</f>
        <v>4</v>
      </c>
      <c r="AN137" s="1">
        <v>2</v>
      </c>
      <c r="AO137" s="1">
        <f t="shared" si="88"/>
        <v>8</v>
      </c>
      <c r="AP137" s="1">
        <v>14</v>
      </c>
      <c r="AQ137" s="1">
        <f t="shared" si="105"/>
        <v>42</v>
      </c>
      <c r="AR137" s="1">
        <f t="shared" si="89"/>
        <v>127</v>
      </c>
      <c r="AS137" s="1">
        <f>IF(BE137="s",25,30)</f>
        <v>25</v>
      </c>
      <c r="AT137" s="1">
        <f t="shared" si="90"/>
        <v>5</v>
      </c>
      <c r="AU137" s="1">
        <f t="shared" si="106"/>
        <v>0</v>
      </c>
      <c r="AV137" s="1">
        <f t="shared" si="96"/>
        <v>0</v>
      </c>
      <c r="AW137" s="1">
        <f t="shared" si="97"/>
        <v>0</v>
      </c>
      <c r="AX137" s="1">
        <f t="shared" si="98"/>
        <v>0</v>
      </c>
      <c r="AY137" s="1">
        <f t="shared" si="91"/>
        <v>-21</v>
      </c>
      <c r="AZ137" s="1">
        <f t="shared" si="99"/>
        <v>0</v>
      </c>
      <c r="BA137" s="1">
        <f t="shared" si="92"/>
        <v>-56</v>
      </c>
      <c r="BB137" s="1">
        <f t="shared" si="100"/>
        <v>0</v>
      </c>
      <c r="BC137" s="1">
        <f t="shared" si="93"/>
        <v>-8</v>
      </c>
      <c r="BD137" s="1">
        <f t="shared" si="94"/>
        <v>0</v>
      </c>
      <c r="BE137" s="1" t="s">
        <v>65</v>
      </c>
      <c r="BF137" s="1">
        <f t="shared" si="101"/>
        <v>42</v>
      </c>
      <c r="BG137" s="1">
        <f t="shared" si="102"/>
        <v>42</v>
      </c>
      <c r="BH137" s="1">
        <f t="shared" si="95"/>
        <v>1</v>
      </c>
      <c r="BI137" s="1" t="e">
        <f>IF(BH137-#REF!=0,"DOĞRU","YANLIŞ")</f>
        <v>#REF!</v>
      </c>
      <c r="BJ137" s="1" t="e">
        <f>#REF!-BH137</f>
        <v>#REF!</v>
      </c>
      <c r="BK137" s="1">
        <v>0</v>
      </c>
      <c r="BM137" s="1">
        <v>0</v>
      </c>
      <c r="BT137" s="8">
        <f t="shared" si="107"/>
        <v>0</v>
      </c>
      <c r="BU137" s="9"/>
      <c r="BV137" s="10"/>
      <c r="BW137" s="11"/>
      <c r="BX137" s="11"/>
      <c r="BY137" s="11"/>
      <c r="BZ137" s="11"/>
      <c r="CA137" s="11"/>
      <c r="CB137" s="12"/>
      <c r="CC137" s="13"/>
      <c r="CD137" s="14"/>
      <c r="CL137" s="11"/>
      <c r="CM137" s="11"/>
      <c r="CN137" s="11"/>
      <c r="CO137" s="11"/>
      <c r="CP137" s="11"/>
      <c r="CQ137" s="54"/>
      <c r="CR137" s="46"/>
      <c r="CS137" s="54"/>
      <c r="CT137" s="48"/>
      <c r="CU137" s="48"/>
      <c r="CV137" s="48"/>
      <c r="CW137" s="49"/>
      <c r="CX137" s="49"/>
    </row>
    <row r="138" spans="1:102" hidden="1" x14ac:dyDescent="0.25">
      <c r="A138" s="1" t="s">
        <v>367</v>
      </c>
      <c r="B138" s="1" t="s">
        <v>368</v>
      </c>
      <c r="C138" s="1" t="s">
        <v>368</v>
      </c>
      <c r="D138" s="2" t="s">
        <v>63</v>
      </c>
      <c r="E138" s="2" t="s">
        <v>63</v>
      </c>
      <c r="F138" s="3" t="e">
        <f>IF(BE138="S",
IF(#REF!+BM138=2018,
IF(#REF!=1,"18-19/1",
IF(#REF!=2,"18-19/2",
IF(#REF!=3,"19-20/1",
IF(#REF!=4,"19-20/2",
IF(#REF!=5,"20-21/1",
IF(#REF!=6,"20-21/2",
IF(#REF!=7,"21-22/1",
IF(#REF!=8,"21-22/2","Hata1")))))))),
IF(#REF!+BM138=2019,
IF(#REF!=1,"19-20/1",
IF(#REF!=2,"19-20/2",
IF(#REF!=3,"20-21/1",
IF(#REF!=4,"20-21/2",
IF(#REF!=5,"21-22/1",
IF(#REF!=6,"21-22/2",
IF(#REF!=7,"22-23/1",
IF(#REF!=8,"22-23/2","Hata2")))))))),
IF(#REF!+BM138=2020,
IF(#REF!=1,"20-21/1",
IF(#REF!=2,"20-21/2",
IF(#REF!=3,"21-22/1",
IF(#REF!=4,"21-22/2",
IF(#REF!=5,"22-23/1",
IF(#REF!=6,"22-23/2",
IF(#REF!=7,"23-24/1",
IF(#REF!=8,"23-24/2","Hata3")))))))),
IF(#REF!+BM138=2021,
IF(#REF!=1,"21-22/1",
IF(#REF!=2,"21-22/2",
IF(#REF!=3,"22-23/1",
IF(#REF!=4,"22-23/2",
IF(#REF!=5,"23-24/1",
IF(#REF!=6,"23-24/2",
IF(#REF!=7,"24-25/1",
IF(#REF!=8,"24-25/2","Hata4")))))))),
IF(#REF!+BM138=2022,
IF(#REF!=1,"22-23/1",
IF(#REF!=2,"22-23/2",
IF(#REF!=3,"23-24/1",
IF(#REF!=4,"23-24/2",
IF(#REF!=5,"24-25/1",
IF(#REF!=6,"24-25/2",
IF(#REF!=7,"25-26/1",
IF(#REF!=8,"25-26/2","Hata5")))))))),
IF(#REF!+BM138=2023,
IF(#REF!=1,"23-24/1",
IF(#REF!=2,"23-24/2",
IF(#REF!=3,"24-25/1",
IF(#REF!=4,"24-25/2",
IF(#REF!=5,"25-26/1",
IF(#REF!=6,"25-26/2",
IF(#REF!=7,"26-27/1",
IF(#REF!=8,"26-27/2","Hata6")))))))),
)))))),
IF(BE138="T",
IF(#REF!+BM138=2018,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8" s="1" t="s">
        <v>135</v>
      </c>
      <c r="N138" s="2">
        <v>4</v>
      </c>
      <c r="O138" s="6">
        <f t="shared" si="81"/>
        <v>3</v>
      </c>
      <c r="P138" s="2">
        <f t="shared" si="82"/>
        <v>3</v>
      </c>
      <c r="Q138" s="2">
        <v>0</v>
      </c>
      <c r="R138" s="2">
        <v>0</v>
      </c>
      <c r="S138" s="2">
        <v>3</v>
      </c>
      <c r="X138" s="3">
        <v>2</v>
      </c>
      <c r="Y138" s="1">
        <f>VLOOKUP(X138,[4]ölçme_sistemleri!I:L,2,FALSE)</f>
        <v>0</v>
      </c>
      <c r="Z138" s="1">
        <f>VLOOKUP(X138,[4]ölçme_sistemleri!I:L,3,FALSE)</f>
        <v>2</v>
      </c>
      <c r="AA138" s="1">
        <f>VLOOKUP(X138,[4]ölçme_sistemleri!I:L,4,FALSE)</f>
        <v>1</v>
      </c>
      <c r="AB138" s="1">
        <f>$O138*[4]ölçme_sistemleri!J$13</f>
        <v>3</v>
      </c>
      <c r="AC138" s="1">
        <f>$O138*[4]ölçme_sistemleri!K$13</f>
        <v>6</v>
      </c>
      <c r="AD138" s="1">
        <f>$O138*[4]ölçme_sistemleri!L$13</f>
        <v>9</v>
      </c>
      <c r="AE138" s="1">
        <f t="shared" si="83"/>
        <v>0</v>
      </c>
      <c r="AF138" s="1">
        <f t="shared" si="84"/>
        <v>12</v>
      </c>
      <c r="AG138" s="1">
        <f t="shared" si="85"/>
        <v>9</v>
      </c>
      <c r="AH138" s="1">
        <f t="shared" si="86"/>
        <v>21</v>
      </c>
      <c r="AI138" s="1">
        <v>14</v>
      </c>
      <c r="AJ138" s="1">
        <f>VLOOKUP(X138,[4]ölçme_sistemleri!I:M,5,FALSE)</f>
        <v>2</v>
      </c>
      <c r="AK138" s="1">
        <f t="shared" si="87"/>
        <v>294</v>
      </c>
      <c r="AL138" s="1">
        <f>(Q138+S138)*AI138</f>
        <v>42</v>
      </c>
      <c r="AM138" s="1">
        <f>VLOOKUP(X138,[4]ölçme_sistemleri!I:N,6,FALSE)</f>
        <v>3</v>
      </c>
      <c r="AN138" s="1">
        <v>2</v>
      </c>
      <c r="AO138" s="1">
        <f t="shared" si="88"/>
        <v>6</v>
      </c>
      <c r="AP138" s="1">
        <v>14</v>
      </c>
      <c r="AQ138" s="1">
        <f t="shared" si="105"/>
        <v>42</v>
      </c>
      <c r="AR138" s="1">
        <f t="shared" si="89"/>
        <v>111</v>
      </c>
      <c r="AS138" s="1">
        <f>IF(BE138="s",25,25)</f>
        <v>25</v>
      </c>
      <c r="AT138" s="1">
        <f t="shared" si="90"/>
        <v>4</v>
      </c>
      <c r="AU138" s="1">
        <f t="shared" si="106"/>
        <v>0</v>
      </c>
      <c r="AV138" s="1">
        <f t="shared" si="96"/>
        <v>0</v>
      </c>
      <c r="AW138" s="1">
        <f t="shared" si="97"/>
        <v>0</v>
      </c>
      <c r="AX138" s="1">
        <f t="shared" si="98"/>
        <v>0</v>
      </c>
      <c r="AY138" s="1">
        <f t="shared" si="91"/>
        <v>-21</v>
      </c>
      <c r="AZ138" s="1">
        <f t="shared" si="99"/>
        <v>0</v>
      </c>
      <c r="BA138" s="1">
        <f t="shared" si="92"/>
        <v>-42</v>
      </c>
      <c r="BB138" s="1">
        <f t="shared" si="100"/>
        <v>0</v>
      </c>
      <c r="BC138" s="1">
        <f t="shared" si="93"/>
        <v>-6</v>
      </c>
      <c r="BD138" s="1">
        <f t="shared" si="94"/>
        <v>0</v>
      </c>
      <c r="BE138" s="1" t="s">
        <v>65</v>
      </c>
      <c r="BF138" s="1">
        <f t="shared" si="101"/>
        <v>42</v>
      </c>
      <c r="BG138" s="1">
        <f t="shared" si="102"/>
        <v>42</v>
      </c>
      <c r="BH138" s="1">
        <f t="shared" si="95"/>
        <v>1</v>
      </c>
      <c r="BI138" s="1" t="e">
        <f>IF(BH138-#REF!=0,"DOĞRU","YANLIŞ")</f>
        <v>#REF!</v>
      </c>
      <c r="BJ138" s="1" t="e">
        <f>#REF!-BH138</f>
        <v>#REF!</v>
      </c>
      <c r="BK138" s="1">
        <v>0</v>
      </c>
      <c r="BM138" s="1">
        <v>0</v>
      </c>
      <c r="BT138" s="8">
        <f t="shared" si="107"/>
        <v>0</v>
      </c>
      <c r="BU138" s="9"/>
      <c r="BV138" s="10"/>
      <c r="BW138" s="11"/>
      <c r="BX138" s="11"/>
      <c r="BY138" s="11"/>
      <c r="BZ138" s="11"/>
      <c r="CA138" s="11"/>
      <c r="CB138" s="12"/>
      <c r="CC138" s="13"/>
      <c r="CD138" s="14"/>
      <c r="CL138" s="11"/>
      <c r="CM138" s="11"/>
      <c r="CN138" s="11"/>
      <c r="CO138" s="11"/>
      <c r="CP138" s="11"/>
      <c r="CQ138" s="46"/>
      <c r="CR138" s="46"/>
      <c r="CS138" s="48"/>
      <c r="CT138" s="48"/>
      <c r="CU138" s="48"/>
      <c r="CV138" s="48"/>
      <c r="CW138" s="49"/>
      <c r="CX138" s="49"/>
    </row>
    <row r="139" spans="1:102" x14ac:dyDescent="0.25">
      <c r="A139" s="112" t="s">
        <v>133</v>
      </c>
      <c r="B139" s="112" t="s">
        <v>134</v>
      </c>
      <c r="C139" s="1" t="s">
        <v>134</v>
      </c>
      <c r="D139" s="2" t="s">
        <v>63</v>
      </c>
      <c r="E139" s="2" t="s">
        <v>63</v>
      </c>
      <c r="F139" s="3" t="e">
        <f>IF(BE139="S",
IF(#REF!+BM139=2018,
IF(#REF!=1,"18-19/1",
IF(#REF!=2,"18-19/2",
IF(#REF!=3,"19-20/1",
IF(#REF!=4,"19-20/2",
IF(#REF!=5,"20-21/1",
IF(#REF!=6,"20-21/2",
IF(#REF!=7,"21-22/1",
IF(#REF!=8,"21-22/2","Hata1")))))))),
IF(#REF!+BM139=2019,
IF(#REF!=1,"19-20/1",
IF(#REF!=2,"19-20/2",
IF(#REF!=3,"20-21/1",
IF(#REF!=4,"20-21/2",
IF(#REF!=5,"21-22/1",
IF(#REF!=6,"21-22/2",
IF(#REF!=7,"22-23/1",
IF(#REF!=8,"22-23/2","Hata2")))))))),
IF(#REF!+BM139=2020,
IF(#REF!=1,"20-21/1",
IF(#REF!=2,"20-21/2",
IF(#REF!=3,"21-22/1",
IF(#REF!=4,"21-22/2",
IF(#REF!=5,"22-23/1",
IF(#REF!=6,"22-23/2",
IF(#REF!=7,"23-24/1",
IF(#REF!=8,"23-24/2","Hata3")))))))),
IF(#REF!+BM139=2021,
IF(#REF!=1,"21-22/1",
IF(#REF!=2,"21-22/2",
IF(#REF!=3,"22-23/1",
IF(#REF!=4,"22-23/2",
IF(#REF!=5,"23-24/1",
IF(#REF!=6,"23-24/2",
IF(#REF!=7,"24-25/1",
IF(#REF!=8,"24-25/2","Hata4")))))))),
IF(#REF!+BM139=2022,
IF(#REF!=1,"22-23/1",
IF(#REF!=2,"22-23/2",
IF(#REF!=3,"23-24/1",
IF(#REF!=4,"23-24/2",
IF(#REF!=5,"24-25/1",
IF(#REF!=6,"24-25/2",
IF(#REF!=7,"25-26/1",
IF(#REF!=8,"25-26/2","Hata5")))))))),
IF(#REF!+BM139=2023,
IF(#REF!=1,"23-24/1",
IF(#REF!=2,"23-24/2",
IF(#REF!=3,"24-25/1",
IF(#REF!=4,"24-25/2",
IF(#REF!=5,"25-26/1",
IF(#REF!=6,"25-26/2",
IF(#REF!=7,"26-27/1",
IF(#REF!=8,"26-27/2","Hata6")))))))),
)))))),
IF(BE139="T",
IF(#REF!+BM139=2018,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IF(#REF!+BM139=2019,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IF(#REF!+BM139=2020,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IF(#REF!+BM139=2021,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IF(#REF!+BM139=2022,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IF(#REF!+BM139=2023,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39" s="112" t="s">
        <v>135</v>
      </c>
      <c r="N139" s="113">
        <v>8</v>
      </c>
      <c r="O139" s="89">
        <f t="shared" si="81"/>
        <v>6</v>
      </c>
      <c r="P139" s="2">
        <f t="shared" si="82"/>
        <v>6</v>
      </c>
      <c r="Q139" s="2">
        <v>4</v>
      </c>
      <c r="R139" s="2">
        <v>0</v>
      </c>
      <c r="S139" s="2">
        <v>2</v>
      </c>
      <c r="X139" s="90">
        <v>4</v>
      </c>
      <c r="Y139" s="1">
        <f>VLOOKUP(X139,[19]ölçme_sistemleri!I:L,2,FALSE)</f>
        <v>0</v>
      </c>
      <c r="Z139" s="1">
        <f>VLOOKUP(X139,[19]ölçme_sistemleri!I:L,3,FALSE)</f>
        <v>1</v>
      </c>
      <c r="AA139" s="1">
        <f>VLOOKUP(X139,[19]ölçme_sistemleri!I:L,4,FALSE)</f>
        <v>1</v>
      </c>
      <c r="AB139" s="1">
        <f>$O139*[19]ölçme_sistemleri!$J$13</f>
        <v>6</v>
      </c>
      <c r="AC139" s="1">
        <f>$O139*[19]ölçme_sistemleri!$K$13</f>
        <v>12</v>
      </c>
      <c r="AD139" s="1">
        <f>$O139*[19]ölçme_sistemleri!$L$13</f>
        <v>18</v>
      </c>
      <c r="AE139" s="1">
        <f t="shared" si="83"/>
        <v>0</v>
      </c>
      <c r="AF139" s="1">
        <f t="shared" si="84"/>
        <v>12</v>
      </c>
      <c r="AG139" s="1">
        <f t="shared" si="85"/>
        <v>18</v>
      </c>
      <c r="AH139" s="1">
        <f t="shared" si="86"/>
        <v>30</v>
      </c>
      <c r="AI139" s="1">
        <v>14</v>
      </c>
      <c r="AJ139" s="1">
        <f>VLOOKUP(X139,[19]ölçme_sistemleri!I:M,5,FALSE)</f>
        <v>1</v>
      </c>
      <c r="AK139" s="1">
        <f t="shared" si="87"/>
        <v>420</v>
      </c>
      <c r="AL139" s="1">
        <f>(Q139+S139)*AI139</f>
        <v>84</v>
      </c>
      <c r="AM139" s="1">
        <f>VLOOKUP(X139,[19]ölçme_sistemleri!I:N,6,FALSE)</f>
        <v>2</v>
      </c>
      <c r="AN139" s="1">
        <v>2</v>
      </c>
      <c r="AO139" s="1">
        <f t="shared" si="88"/>
        <v>4</v>
      </c>
      <c r="AP139" s="1">
        <v>14</v>
      </c>
      <c r="AQ139" s="1">
        <f t="shared" si="105"/>
        <v>84</v>
      </c>
      <c r="AR139" s="1">
        <f t="shared" si="89"/>
        <v>202</v>
      </c>
      <c r="AS139" s="1">
        <f>IF(BE139="s",25,30)</f>
        <v>25</v>
      </c>
      <c r="AT139" s="1">
        <f t="shared" si="90"/>
        <v>8</v>
      </c>
      <c r="AU139" s="1">
        <f t="shared" si="106"/>
        <v>0</v>
      </c>
      <c r="AV139" s="1">
        <f t="shared" si="96"/>
        <v>0</v>
      </c>
      <c r="AW139" s="1">
        <f t="shared" si="97"/>
        <v>0</v>
      </c>
      <c r="AX139" s="1">
        <f t="shared" si="98"/>
        <v>0</v>
      </c>
      <c r="AY139" s="1">
        <f t="shared" si="91"/>
        <v>-30</v>
      </c>
      <c r="AZ139" s="1">
        <f t="shared" si="99"/>
        <v>0</v>
      </c>
      <c r="BA139" s="1">
        <f t="shared" si="92"/>
        <v>-84</v>
      </c>
      <c r="BB139" s="1">
        <f t="shared" si="100"/>
        <v>0</v>
      </c>
      <c r="BC139" s="1">
        <f t="shared" si="93"/>
        <v>-4</v>
      </c>
      <c r="BD139" s="1">
        <f t="shared" si="94"/>
        <v>0</v>
      </c>
      <c r="BE139" s="1" t="s">
        <v>65</v>
      </c>
      <c r="BF139" s="1">
        <f t="shared" si="101"/>
        <v>84</v>
      </c>
      <c r="BG139" s="1">
        <f t="shared" si="102"/>
        <v>84</v>
      </c>
      <c r="BH139" s="1">
        <f t="shared" si="95"/>
        <v>3</v>
      </c>
      <c r="BI139" s="1" t="e">
        <f>IF(BH139-#REF!=0,"DOĞRU","YANLIŞ")</f>
        <v>#REF!</v>
      </c>
      <c r="BJ139" s="1" t="e">
        <f>#REF!-BH139</f>
        <v>#REF!</v>
      </c>
      <c r="BK139" s="1">
        <v>1</v>
      </c>
      <c r="BM139" s="1">
        <v>0</v>
      </c>
      <c r="BT139" s="8">
        <f t="shared" si="107"/>
        <v>0</v>
      </c>
      <c r="BU139" s="9"/>
      <c r="BV139" s="10"/>
      <c r="BW139" s="11"/>
      <c r="BX139" s="11"/>
      <c r="BY139" s="11"/>
      <c r="BZ139" s="11"/>
      <c r="CA139" s="11"/>
      <c r="CB139" s="12"/>
      <c r="CC139" s="13"/>
      <c r="CD139" s="14"/>
      <c r="CL139" s="114"/>
      <c r="CM139" s="114"/>
      <c r="CN139" s="114"/>
      <c r="CO139" s="114"/>
      <c r="CP139" s="114" t="s">
        <v>442</v>
      </c>
      <c r="CQ139" s="111">
        <v>44324</v>
      </c>
      <c r="CR139" s="114" t="s">
        <v>529</v>
      </c>
      <c r="CS139" s="91"/>
      <c r="CT139" s="91"/>
      <c r="CU139" s="48"/>
      <c r="CV139" s="48"/>
      <c r="CW139" s="49"/>
      <c r="CX139" s="49"/>
    </row>
    <row r="140" spans="1:102" hidden="1" x14ac:dyDescent="0.25">
      <c r="A140" s="1" t="s">
        <v>196</v>
      </c>
      <c r="B140" s="1" t="s">
        <v>197</v>
      </c>
      <c r="C140" s="1" t="s">
        <v>197</v>
      </c>
      <c r="D140" s="2" t="s">
        <v>63</v>
      </c>
      <c r="E140" s="2" t="s">
        <v>63</v>
      </c>
      <c r="F140" s="3" t="e">
        <f>IF(BE140="S",
IF(#REF!+BM140=2018,
IF(#REF!=1,"18-19/1",
IF(#REF!=2,"18-19/2",
IF(#REF!=3,"19-20/1",
IF(#REF!=4,"19-20/2",
IF(#REF!=5,"20-21/1",
IF(#REF!=6,"20-21/2",
IF(#REF!=7,"21-22/1",
IF(#REF!=8,"21-22/2","Hata1")))))))),
IF(#REF!+BM140=2019,
IF(#REF!=1,"19-20/1",
IF(#REF!=2,"19-20/2",
IF(#REF!=3,"20-21/1",
IF(#REF!=4,"20-21/2",
IF(#REF!=5,"21-22/1",
IF(#REF!=6,"21-22/2",
IF(#REF!=7,"22-23/1",
IF(#REF!=8,"22-23/2","Hata2")))))))),
IF(#REF!+BM140=2020,
IF(#REF!=1,"20-21/1",
IF(#REF!=2,"20-21/2",
IF(#REF!=3,"21-22/1",
IF(#REF!=4,"21-22/2",
IF(#REF!=5,"22-23/1",
IF(#REF!=6,"22-23/2",
IF(#REF!=7,"23-24/1",
IF(#REF!=8,"23-24/2","Hata3")))))))),
IF(#REF!+BM140=2021,
IF(#REF!=1,"21-22/1",
IF(#REF!=2,"21-22/2",
IF(#REF!=3,"22-23/1",
IF(#REF!=4,"22-23/2",
IF(#REF!=5,"23-24/1",
IF(#REF!=6,"23-24/2",
IF(#REF!=7,"24-25/1",
IF(#REF!=8,"24-25/2","Hata4")))))))),
IF(#REF!+BM140=2022,
IF(#REF!=1,"22-23/1",
IF(#REF!=2,"22-23/2",
IF(#REF!=3,"23-24/1",
IF(#REF!=4,"23-24/2",
IF(#REF!=5,"24-25/1",
IF(#REF!=6,"24-25/2",
IF(#REF!=7,"25-26/1",
IF(#REF!=8,"25-26/2","Hata5")))))))),
IF(#REF!+BM140=2023,
IF(#REF!=1,"23-24/1",
IF(#REF!=2,"23-24/2",
IF(#REF!=3,"24-25/1",
IF(#REF!=4,"24-25/2",
IF(#REF!=5,"25-26/1",
IF(#REF!=6,"25-26/2",
IF(#REF!=7,"26-27/1",
IF(#REF!=8,"26-27/2","Hata6")))))))),
)))))),
IF(BE140="T",
IF(#REF!+BM140=2018,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0" s="1" t="s">
        <v>135</v>
      </c>
      <c r="N140" s="2">
        <v>5</v>
      </c>
      <c r="O140" s="6">
        <f t="shared" si="81"/>
        <v>3</v>
      </c>
      <c r="P140" s="2">
        <f t="shared" si="82"/>
        <v>3</v>
      </c>
      <c r="Q140" s="2">
        <v>3</v>
      </c>
      <c r="R140" s="2">
        <v>0</v>
      </c>
      <c r="S140" s="2">
        <v>0</v>
      </c>
      <c r="X140" s="3">
        <v>3</v>
      </c>
      <c r="Y140" s="1">
        <f>VLOOKUP(X140,[1]ölçme_sistemleri!I:L,2,FALSE)</f>
        <v>2</v>
      </c>
      <c r="Z140" s="1">
        <f>VLOOKUP(X140,[1]ölçme_sistemleri!I:L,3,FALSE)</f>
        <v>1</v>
      </c>
      <c r="AA140" s="1">
        <f>VLOOKUP(X140,[1]ölçme_sistemleri!I:L,4,FALSE)</f>
        <v>1</v>
      </c>
      <c r="AB140" s="1">
        <f>$O140*[1]ölçme_sistemleri!$J$13</f>
        <v>3</v>
      </c>
      <c r="AC140" s="1">
        <f>$O140*[1]ölçme_sistemleri!$K$13</f>
        <v>6</v>
      </c>
      <c r="AD140" s="1">
        <f>$O140*[1]ölçme_sistemleri!$L$13</f>
        <v>9</v>
      </c>
      <c r="AE140" s="1">
        <f t="shared" si="83"/>
        <v>6</v>
      </c>
      <c r="AF140" s="1">
        <f t="shared" si="84"/>
        <v>6</v>
      </c>
      <c r="AG140" s="1">
        <f t="shared" si="85"/>
        <v>9</v>
      </c>
      <c r="AH140" s="1">
        <f t="shared" si="86"/>
        <v>21</v>
      </c>
      <c r="AI140" s="1">
        <v>14</v>
      </c>
      <c r="AJ140" s="1">
        <f>VLOOKUP(X140,[1]ölçme_sistemleri!I:M,5,FALSE)</f>
        <v>3</v>
      </c>
      <c r="AK140" s="1">
        <f t="shared" si="87"/>
        <v>294</v>
      </c>
      <c r="AL140" s="1">
        <f>AI140*4</f>
        <v>56</v>
      </c>
      <c r="AM140" s="1">
        <f>VLOOKUP(X140,[1]ölçme_sistemleri!I:N,6,FALSE)</f>
        <v>4</v>
      </c>
      <c r="AN140" s="1">
        <v>2</v>
      </c>
      <c r="AO140" s="1">
        <f t="shared" si="88"/>
        <v>8</v>
      </c>
      <c r="AP140" s="1">
        <v>14</v>
      </c>
      <c r="AQ140" s="1">
        <f t="shared" si="105"/>
        <v>42</v>
      </c>
      <c r="AR140" s="1">
        <f t="shared" si="89"/>
        <v>127</v>
      </c>
      <c r="AS140" s="1">
        <f>IF(BE140="s",25,30)</f>
        <v>25</v>
      </c>
      <c r="AT140" s="1">
        <f t="shared" si="90"/>
        <v>5</v>
      </c>
      <c r="AU140" s="1">
        <f t="shared" si="106"/>
        <v>0</v>
      </c>
      <c r="AV140" s="1">
        <f t="shared" si="96"/>
        <v>0</v>
      </c>
      <c r="AW140" s="1">
        <f t="shared" si="97"/>
        <v>0</v>
      </c>
      <c r="AX140" s="1">
        <f t="shared" si="98"/>
        <v>0</v>
      </c>
      <c r="AY140" s="1">
        <f t="shared" si="91"/>
        <v>-21</v>
      </c>
      <c r="AZ140" s="1">
        <f t="shared" si="99"/>
        <v>0</v>
      </c>
      <c r="BA140" s="1">
        <f t="shared" si="92"/>
        <v>-56</v>
      </c>
      <c r="BB140" s="1">
        <f t="shared" si="100"/>
        <v>0</v>
      </c>
      <c r="BC140" s="1">
        <f t="shared" si="93"/>
        <v>-8</v>
      </c>
      <c r="BD140" s="1">
        <f t="shared" si="94"/>
        <v>0</v>
      </c>
      <c r="BE140" s="1" t="s">
        <v>65</v>
      </c>
      <c r="BF140" s="1">
        <f t="shared" si="101"/>
        <v>42</v>
      </c>
      <c r="BG140" s="1">
        <f t="shared" si="102"/>
        <v>42</v>
      </c>
      <c r="BH140" s="1">
        <f t="shared" si="95"/>
        <v>1</v>
      </c>
      <c r="BI140" s="1" t="e">
        <f>IF(BH140-#REF!=0,"DOĞRU","YANLIŞ")</f>
        <v>#REF!</v>
      </c>
      <c r="BJ140" s="1" t="e">
        <f>#REF!-BH140</f>
        <v>#REF!</v>
      </c>
      <c r="BK140" s="1">
        <v>0</v>
      </c>
      <c r="BM140" s="1">
        <v>0</v>
      </c>
      <c r="BT140" s="8">
        <f t="shared" si="107"/>
        <v>0</v>
      </c>
      <c r="BU140" s="9"/>
      <c r="BV140" s="10"/>
      <c r="BW140" s="11"/>
      <c r="BX140" s="11"/>
      <c r="BY140" s="11"/>
      <c r="BZ140" s="11"/>
      <c r="CA140" s="11"/>
      <c r="CB140" s="12"/>
      <c r="CC140" s="13"/>
      <c r="CD140" s="14"/>
      <c r="CL140" s="11"/>
      <c r="CM140" s="11"/>
      <c r="CN140" s="11"/>
      <c r="CO140" s="11"/>
      <c r="CP140" s="11"/>
      <c r="CQ140" s="46"/>
      <c r="CR140" s="46"/>
      <c r="CS140" s="48"/>
      <c r="CT140" s="48"/>
      <c r="CU140" s="48"/>
      <c r="CV140" s="48"/>
      <c r="CW140" s="49"/>
      <c r="CX140" s="49"/>
    </row>
    <row r="141" spans="1:102" hidden="1" x14ac:dyDescent="0.25">
      <c r="A141" s="1" t="s">
        <v>129</v>
      </c>
      <c r="B141" s="1" t="s">
        <v>130</v>
      </c>
      <c r="C141" s="1" t="s">
        <v>130</v>
      </c>
      <c r="D141" s="2" t="s">
        <v>63</v>
      </c>
      <c r="E141" s="2" t="s">
        <v>63</v>
      </c>
      <c r="F141" s="3" t="e">
        <f>IF(BE141="S",
IF(#REF!+BM141=2018,
IF(#REF!=1,"18-19/1",
IF(#REF!=2,"18-19/2",
IF(#REF!=3,"19-20/1",
IF(#REF!=4,"19-20/2",
IF(#REF!=5,"20-21/1",
IF(#REF!=6,"20-21/2",
IF(#REF!=7,"21-22/1",
IF(#REF!=8,"21-22/2","Hata1")))))))),
IF(#REF!+BM141=2019,
IF(#REF!=1,"19-20/1",
IF(#REF!=2,"19-20/2",
IF(#REF!=3,"20-21/1",
IF(#REF!=4,"20-21/2",
IF(#REF!=5,"21-22/1",
IF(#REF!=6,"21-22/2",
IF(#REF!=7,"22-23/1",
IF(#REF!=8,"22-23/2","Hata2")))))))),
IF(#REF!+BM141=2020,
IF(#REF!=1,"20-21/1",
IF(#REF!=2,"20-21/2",
IF(#REF!=3,"21-22/1",
IF(#REF!=4,"21-22/2",
IF(#REF!=5,"22-23/1",
IF(#REF!=6,"22-23/2",
IF(#REF!=7,"23-24/1",
IF(#REF!=8,"23-24/2","Hata3")))))))),
IF(#REF!+BM141=2021,
IF(#REF!=1,"21-22/1",
IF(#REF!=2,"21-22/2",
IF(#REF!=3,"22-23/1",
IF(#REF!=4,"22-23/2",
IF(#REF!=5,"23-24/1",
IF(#REF!=6,"23-24/2",
IF(#REF!=7,"24-25/1",
IF(#REF!=8,"24-25/2","Hata4")))))))),
IF(#REF!+BM141=2022,
IF(#REF!=1,"22-23/1",
IF(#REF!=2,"22-23/2",
IF(#REF!=3,"23-24/1",
IF(#REF!=4,"23-24/2",
IF(#REF!=5,"24-25/1",
IF(#REF!=6,"24-25/2",
IF(#REF!=7,"25-26/1",
IF(#REF!=8,"25-26/2","Hata5")))))))),
IF(#REF!+BM141=2023,
IF(#REF!=1,"23-24/1",
IF(#REF!=2,"23-24/2",
IF(#REF!=3,"24-25/1",
IF(#REF!=4,"24-25/2",
IF(#REF!=5,"25-26/1",
IF(#REF!=6,"25-26/2",
IF(#REF!=7,"26-27/1",
IF(#REF!=8,"26-27/2","Hata6")))))))),
)))))),
IF(BE141="T",
IF(#REF!+BM141=2018,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1" s="1" t="s">
        <v>135</v>
      </c>
      <c r="L141" s="2">
        <v>3397</v>
      </c>
      <c r="N141" s="2">
        <v>4</v>
      </c>
      <c r="O141" s="6">
        <f t="shared" si="81"/>
        <v>3</v>
      </c>
      <c r="P141" s="2">
        <f t="shared" si="82"/>
        <v>3</v>
      </c>
      <c r="Q141" s="2">
        <v>0</v>
      </c>
      <c r="R141" s="2">
        <v>0</v>
      </c>
      <c r="S141" s="2">
        <v>3</v>
      </c>
      <c r="X141" s="3">
        <v>2</v>
      </c>
      <c r="Y141" s="1">
        <f>VLOOKUP(X141,[4]ölçme_sistemleri!I:L,2,FALSE)</f>
        <v>0</v>
      </c>
      <c r="Z141" s="1">
        <f>VLOOKUP(X141,[4]ölçme_sistemleri!I:L,3,FALSE)</f>
        <v>2</v>
      </c>
      <c r="AA141" s="1">
        <f>VLOOKUP(X141,[4]ölçme_sistemleri!I:L,4,FALSE)</f>
        <v>1</v>
      </c>
      <c r="AB141" s="1">
        <f>$O141*[4]ölçme_sistemleri!J$13</f>
        <v>3</v>
      </c>
      <c r="AC141" s="1">
        <f>$O141*[4]ölçme_sistemleri!K$13</f>
        <v>6</v>
      </c>
      <c r="AD141" s="1">
        <f>$O141*[4]ölçme_sistemleri!L$13</f>
        <v>9</v>
      </c>
      <c r="AE141" s="1">
        <f t="shared" si="83"/>
        <v>0</v>
      </c>
      <c r="AF141" s="1">
        <f t="shared" si="84"/>
        <v>12</v>
      </c>
      <c r="AG141" s="1">
        <f t="shared" si="85"/>
        <v>9</v>
      </c>
      <c r="AH141" s="1">
        <f t="shared" si="86"/>
        <v>21</v>
      </c>
      <c r="AI141" s="1">
        <v>14</v>
      </c>
      <c r="AJ141" s="1">
        <f>VLOOKUP(X141,[4]ölçme_sistemleri!I:M,5,FALSE)</f>
        <v>2</v>
      </c>
      <c r="AK141" s="1">
        <f t="shared" si="87"/>
        <v>294</v>
      </c>
      <c r="AL141" s="1">
        <f>(Q141+S141)*AI141</f>
        <v>42</v>
      </c>
      <c r="AM141" s="1">
        <f>VLOOKUP(X141,[4]ölçme_sistemleri!I:N,6,FALSE)</f>
        <v>3</v>
      </c>
      <c r="AN141" s="1">
        <v>2</v>
      </c>
      <c r="AO141" s="1">
        <f t="shared" si="88"/>
        <v>6</v>
      </c>
      <c r="AP141" s="1">
        <v>14</v>
      </c>
      <c r="AQ141" s="1">
        <f t="shared" si="105"/>
        <v>42</v>
      </c>
      <c r="AR141" s="1">
        <f t="shared" si="89"/>
        <v>111</v>
      </c>
      <c r="AS141" s="1">
        <f>IF(BE141="s",25,25)</f>
        <v>25</v>
      </c>
      <c r="AT141" s="1">
        <f t="shared" si="90"/>
        <v>4</v>
      </c>
      <c r="AU141" s="1">
        <f t="shared" si="106"/>
        <v>0</v>
      </c>
      <c r="AV141" s="1">
        <f t="shared" si="96"/>
        <v>0</v>
      </c>
      <c r="AW141" s="1">
        <f t="shared" si="97"/>
        <v>0</v>
      </c>
      <c r="AX141" s="1">
        <f t="shared" si="98"/>
        <v>0</v>
      </c>
      <c r="AY141" s="1">
        <f t="shared" si="91"/>
        <v>-21</v>
      </c>
      <c r="AZ141" s="1">
        <f t="shared" si="99"/>
        <v>0</v>
      </c>
      <c r="BA141" s="1">
        <f t="shared" si="92"/>
        <v>-42</v>
      </c>
      <c r="BB141" s="1">
        <f t="shared" si="100"/>
        <v>0</v>
      </c>
      <c r="BC141" s="1">
        <f t="shared" si="93"/>
        <v>-6</v>
      </c>
      <c r="BD141" s="1">
        <f t="shared" si="94"/>
        <v>0</v>
      </c>
      <c r="BE141" s="1" t="s">
        <v>65</v>
      </c>
      <c r="BF141" s="1">
        <f t="shared" si="101"/>
        <v>42</v>
      </c>
      <c r="BG141" s="1">
        <f t="shared" si="102"/>
        <v>42</v>
      </c>
      <c r="BH141" s="1">
        <f t="shared" si="95"/>
        <v>1</v>
      </c>
      <c r="BI141" s="1" t="e">
        <f>IF(BH141-#REF!=0,"DOĞRU","YANLIŞ")</f>
        <v>#REF!</v>
      </c>
      <c r="BJ141" s="1" t="e">
        <f>#REF!-BH141</f>
        <v>#REF!</v>
      </c>
      <c r="BK141" s="1">
        <v>0</v>
      </c>
      <c r="BM141" s="1">
        <v>0</v>
      </c>
      <c r="BT141" s="8">
        <f t="shared" si="107"/>
        <v>0</v>
      </c>
      <c r="BU141" s="9"/>
      <c r="BV141" s="10"/>
      <c r="BW141" s="11"/>
      <c r="BX141" s="11"/>
      <c r="BY141" s="11"/>
      <c r="BZ141" s="11"/>
      <c r="CA141" s="11"/>
      <c r="CB141" s="12"/>
      <c r="CC141" s="13"/>
      <c r="CD141" s="14"/>
      <c r="CL141" s="11"/>
      <c r="CM141" s="11"/>
      <c r="CN141" s="11"/>
      <c r="CO141" s="11"/>
      <c r="CP141" s="11"/>
      <c r="CQ141" s="54"/>
      <c r="CR141" s="46"/>
      <c r="CS141" s="54"/>
      <c r="CT141" s="48"/>
      <c r="CU141" s="48"/>
      <c r="CV141" s="48"/>
      <c r="CW141" s="49"/>
      <c r="CX141" s="49"/>
    </row>
    <row r="142" spans="1:102" hidden="1" x14ac:dyDescent="0.25">
      <c r="A142" s="1" t="s">
        <v>468</v>
      </c>
      <c r="B142" s="1" t="s">
        <v>215</v>
      </c>
      <c r="C142" s="1" t="s">
        <v>215</v>
      </c>
      <c r="D142" s="2" t="s">
        <v>58</v>
      </c>
      <c r="E142" s="2" t="s">
        <v>58</v>
      </c>
      <c r="F142" s="3" t="e">
        <f>IF(BE142="S",
IF(#REF!+BM142=2018,
IF(#REF!=1,"18-19/1",
IF(#REF!=2,"18-19/2",
IF(#REF!=3,"19-20/1",
IF(#REF!=4,"19-20/2",
IF(#REF!=5,"20-21/1",
IF(#REF!=6,"20-21/2",
IF(#REF!=7,"21-22/1",
IF(#REF!=8,"21-22/2","Hata1")))))))),
IF(#REF!+BM142=2019,
IF(#REF!=1,"19-20/1",
IF(#REF!=2,"19-20/2",
IF(#REF!=3,"20-21/1",
IF(#REF!=4,"20-21/2",
IF(#REF!=5,"21-22/1",
IF(#REF!=6,"21-22/2",
IF(#REF!=7,"22-23/1",
IF(#REF!=8,"22-23/2","Hata2")))))))),
IF(#REF!+BM142=2020,
IF(#REF!=1,"20-21/1",
IF(#REF!=2,"20-21/2",
IF(#REF!=3,"21-22/1",
IF(#REF!=4,"21-22/2",
IF(#REF!=5,"22-23/1",
IF(#REF!=6,"22-23/2",
IF(#REF!=7,"23-24/1",
IF(#REF!=8,"23-24/2","Hata3")))))))),
IF(#REF!+BM142=2021,
IF(#REF!=1,"21-22/1",
IF(#REF!=2,"21-22/2",
IF(#REF!=3,"22-23/1",
IF(#REF!=4,"22-23/2",
IF(#REF!=5,"23-24/1",
IF(#REF!=6,"23-24/2",
IF(#REF!=7,"24-25/1",
IF(#REF!=8,"24-25/2","Hata4")))))))),
IF(#REF!+BM142=2022,
IF(#REF!=1,"22-23/1",
IF(#REF!=2,"22-23/2",
IF(#REF!=3,"23-24/1",
IF(#REF!=4,"23-24/2",
IF(#REF!=5,"24-25/1",
IF(#REF!=6,"24-25/2",
IF(#REF!=7,"25-26/1",
IF(#REF!=8,"25-26/2","Hata5")))))))),
IF(#REF!+BM142=2023,
IF(#REF!=1,"23-24/1",
IF(#REF!=2,"23-24/2",
IF(#REF!=3,"24-25/1",
IF(#REF!=4,"24-25/2",
IF(#REF!=5,"25-26/1",
IF(#REF!=6,"25-26/2",
IF(#REF!=7,"26-27/1",
IF(#REF!=8,"26-27/2","Hata6")))))))),
)))))),
IF(BE142="T",
IF(#REF!+BM142=2018,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2" s="1" t="s">
        <v>75</v>
      </c>
      <c r="J142" s="1">
        <v>4234776</v>
      </c>
      <c r="N142" s="2">
        <v>5</v>
      </c>
      <c r="O142" s="6">
        <f t="shared" si="81"/>
        <v>3</v>
      </c>
      <c r="P142" s="2">
        <f t="shared" si="82"/>
        <v>3</v>
      </c>
      <c r="Q142" s="2">
        <v>0</v>
      </c>
      <c r="R142" s="2">
        <v>0</v>
      </c>
      <c r="S142" s="2">
        <v>3</v>
      </c>
      <c r="X142" s="3">
        <v>3</v>
      </c>
      <c r="Y142" s="1">
        <f>VLOOKUP(X142,[20]ölçme_sistemleri!I:L,2,FALSE)</f>
        <v>2</v>
      </c>
      <c r="Z142" s="1">
        <f>VLOOKUP(X142,[20]ölçme_sistemleri!I:L,3,FALSE)</f>
        <v>1</v>
      </c>
      <c r="AA142" s="1">
        <f>VLOOKUP(X142,[20]ölçme_sistemleri!I:L,4,FALSE)</f>
        <v>1</v>
      </c>
      <c r="AB142" s="1">
        <f>$O142*[20]ölçme_sistemleri!J$13</f>
        <v>3</v>
      </c>
      <c r="AC142" s="1">
        <f>$O142*[20]ölçme_sistemleri!K$13</f>
        <v>6</v>
      </c>
      <c r="AD142" s="1">
        <f>$O142*[20]ölçme_sistemleri!L$13</f>
        <v>9</v>
      </c>
      <c r="AE142" s="1">
        <f t="shared" si="83"/>
        <v>6</v>
      </c>
      <c r="AF142" s="1">
        <f t="shared" si="84"/>
        <v>6</v>
      </c>
      <c r="AG142" s="1">
        <f t="shared" si="85"/>
        <v>9</v>
      </c>
      <c r="AH142" s="1">
        <f t="shared" si="86"/>
        <v>21</v>
      </c>
      <c r="AI142" s="1">
        <v>14</v>
      </c>
      <c r="AJ142" s="1">
        <f>VLOOKUP(X142,[20]ölçme_sistemleri!I:M,5,FALSE)</f>
        <v>3</v>
      </c>
      <c r="AK142" s="1">
        <f t="shared" si="87"/>
        <v>294</v>
      </c>
      <c r="AL142" s="1">
        <f>(Q142+S142)*AI142</f>
        <v>42</v>
      </c>
      <c r="AM142" s="1">
        <f>VLOOKUP(X142,[20]ölçme_sistemleri!I:N,6,FALSE)</f>
        <v>4</v>
      </c>
      <c r="AN142" s="1">
        <v>2</v>
      </c>
      <c r="AO142" s="1">
        <f t="shared" si="88"/>
        <v>8</v>
      </c>
      <c r="AP142" s="1">
        <v>14</v>
      </c>
      <c r="AQ142" s="1">
        <f t="shared" si="105"/>
        <v>42</v>
      </c>
      <c r="AR142" s="1">
        <f t="shared" si="89"/>
        <v>113</v>
      </c>
      <c r="AS142" s="1">
        <f>IF(BE142="s",25,30)</f>
        <v>25</v>
      </c>
      <c r="AT142" s="1">
        <f t="shared" si="90"/>
        <v>5</v>
      </c>
      <c r="AU142" s="1">
        <f t="shared" si="106"/>
        <v>0</v>
      </c>
      <c r="AV142" s="1">
        <f t="shared" si="96"/>
        <v>0</v>
      </c>
      <c r="AW142" s="1">
        <f t="shared" si="97"/>
        <v>0</v>
      </c>
      <c r="AX142" s="1">
        <f t="shared" si="98"/>
        <v>0</v>
      </c>
      <c r="AY142" s="1">
        <f t="shared" si="91"/>
        <v>-21</v>
      </c>
      <c r="AZ142" s="1">
        <f t="shared" si="99"/>
        <v>0</v>
      </c>
      <c r="BA142" s="1">
        <f t="shared" si="92"/>
        <v>-42</v>
      </c>
      <c r="BB142" s="1">
        <f t="shared" si="100"/>
        <v>0</v>
      </c>
      <c r="BC142" s="1">
        <f t="shared" si="93"/>
        <v>-8</v>
      </c>
      <c r="BD142" s="1">
        <f t="shared" si="94"/>
        <v>0</v>
      </c>
      <c r="BE142" s="1" t="s">
        <v>65</v>
      </c>
      <c r="BF142" s="1">
        <f t="shared" si="101"/>
        <v>42</v>
      </c>
      <c r="BG142" s="1">
        <f t="shared" si="102"/>
        <v>42</v>
      </c>
      <c r="BH142" s="1">
        <f t="shared" si="95"/>
        <v>1</v>
      </c>
      <c r="BI142" s="1" t="e">
        <f>IF(BH142-#REF!=0,"DOĞRU","YANLIŞ")</f>
        <v>#REF!</v>
      </c>
      <c r="BJ142" s="1" t="e">
        <f>#REF!-BH142</f>
        <v>#REF!</v>
      </c>
      <c r="BK142" s="1">
        <v>1</v>
      </c>
      <c r="BM142" s="1">
        <v>1</v>
      </c>
      <c r="BO142" s="1">
        <v>4</v>
      </c>
      <c r="BT142" s="8">
        <f t="shared" si="107"/>
        <v>0</v>
      </c>
      <c r="BU142" s="9"/>
      <c r="BV142" s="10"/>
      <c r="BW142" s="11"/>
      <c r="BX142" s="11"/>
      <c r="BY142" s="11"/>
      <c r="BZ142" s="11"/>
      <c r="CA142" s="11"/>
      <c r="CB142" s="12"/>
      <c r="CC142" s="13"/>
      <c r="CD142" s="14"/>
      <c r="CL142" s="11"/>
      <c r="CM142" s="11"/>
      <c r="CN142" s="11"/>
      <c r="CO142" s="11"/>
      <c r="CP142" s="11"/>
      <c r="CQ142" s="54"/>
      <c r="CR142" s="46"/>
      <c r="CS142" s="54"/>
      <c r="CT142" s="48"/>
      <c r="CU142" s="48"/>
      <c r="CV142" s="48"/>
      <c r="CW142" s="49"/>
      <c r="CX142" s="49"/>
    </row>
    <row r="143" spans="1:102" hidden="1" x14ac:dyDescent="0.25">
      <c r="A143" s="41" t="s">
        <v>244</v>
      </c>
      <c r="B143" s="1" t="s">
        <v>221</v>
      </c>
      <c r="C143" s="1" t="s">
        <v>221</v>
      </c>
      <c r="D143" s="2" t="s">
        <v>63</v>
      </c>
      <c r="E143" s="2" t="s">
        <v>63</v>
      </c>
      <c r="F143" s="3" t="e">
        <f>IF(BE143="S",
IF(#REF!+BM143=2018,
IF(#REF!=1,"18-19/1",
IF(#REF!=2,"18-19/2",
IF(#REF!=3,"19-20/1",
IF(#REF!=4,"19-20/2",
IF(#REF!=5,"20-21/1",
IF(#REF!=6,"20-21/2",
IF(#REF!=7,"21-22/1",
IF(#REF!=8,"21-22/2","Hata1")))))))),
IF(#REF!+BM143=2019,
IF(#REF!=1,"19-20/1",
IF(#REF!=2,"19-20/2",
IF(#REF!=3,"20-21/1",
IF(#REF!=4,"20-21/2",
IF(#REF!=5,"21-22/1",
IF(#REF!=6,"21-22/2",
IF(#REF!=7,"22-23/1",
IF(#REF!=8,"22-23/2","Hata2")))))))),
IF(#REF!+BM143=2020,
IF(#REF!=1,"20-21/1",
IF(#REF!=2,"20-21/2",
IF(#REF!=3,"21-22/1",
IF(#REF!=4,"21-22/2",
IF(#REF!=5,"22-23/1",
IF(#REF!=6,"22-23/2",
IF(#REF!=7,"23-24/1",
IF(#REF!=8,"23-24/2","Hata3")))))))),
IF(#REF!+BM143=2021,
IF(#REF!=1,"21-22/1",
IF(#REF!=2,"21-22/2",
IF(#REF!=3,"22-23/1",
IF(#REF!=4,"22-23/2",
IF(#REF!=5,"23-24/1",
IF(#REF!=6,"23-24/2",
IF(#REF!=7,"24-25/1",
IF(#REF!=8,"24-25/2","Hata4")))))))),
IF(#REF!+BM143=2022,
IF(#REF!=1,"22-23/1",
IF(#REF!=2,"22-23/2",
IF(#REF!=3,"23-24/1",
IF(#REF!=4,"23-24/2",
IF(#REF!=5,"24-25/1",
IF(#REF!=6,"24-25/2",
IF(#REF!=7,"25-26/1",
IF(#REF!=8,"25-26/2","Hata5")))))))),
IF(#REF!+BM143=2023,
IF(#REF!=1,"23-24/1",
IF(#REF!=2,"23-24/2",
IF(#REF!=3,"24-25/1",
IF(#REF!=4,"24-25/2",
IF(#REF!=5,"25-26/1",
IF(#REF!=6,"25-26/2",
IF(#REF!=7,"26-27/1",
IF(#REF!=8,"26-27/2","Hata6")))))))),
)))))),
IF(BE143="T",
IF(#REF!+BM143=2018,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3" s="1" t="s">
        <v>75</v>
      </c>
      <c r="J143" s="1">
        <v>4234776</v>
      </c>
      <c r="L143" s="31">
        <v>3494</v>
      </c>
      <c r="N143" s="2">
        <v>3</v>
      </c>
      <c r="O143" s="6">
        <f t="shared" si="81"/>
        <v>3</v>
      </c>
      <c r="P143" s="2">
        <f t="shared" si="82"/>
        <v>3</v>
      </c>
      <c r="Q143" s="2">
        <v>0</v>
      </c>
      <c r="R143" s="2">
        <v>0</v>
      </c>
      <c r="S143" s="2">
        <v>3</v>
      </c>
      <c r="X143" s="3">
        <v>4</v>
      </c>
      <c r="Y143" s="1">
        <f>VLOOKUP(X143,[4]ölçme_sistemleri!I:L,2,FALSE)</f>
        <v>0</v>
      </c>
      <c r="Z143" s="1">
        <f>VLOOKUP(X143,[4]ölçme_sistemleri!I:L,3,FALSE)</f>
        <v>1</v>
      </c>
      <c r="AA143" s="1">
        <f>VLOOKUP(X143,[4]ölçme_sistemleri!I:L,4,FALSE)</f>
        <v>1</v>
      </c>
      <c r="AB143" s="1">
        <f>$O143*[4]ölçme_sistemleri!J$13</f>
        <v>3</v>
      </c>
      <c r="AC143" s="1">
        <f>$O143*[4]ölçme_sistemleri!K$13</f>
        <v>6</v>
      </c>
      <c r="AD143" s="1">
        <f>$O143*[4]ölçme_sistemleri!L$13</f>
        <v>9</v>
      </c>
      <c r="AE143" s="1">
        <f t="shared" si="83"/>
        <v>0</v>
      </c>
      <c r="AF143" s="1">
        <f t="shared" si="84"/>
        <v>6</v>
      </c>
      <c r="AG143" s="1">
        <f t="shared" si="85"/>
        <v>9</v>
      </c>
      <c r="AH143" s="1">
        <f t="shared" si="86"/>
        <v>15</v>
      </c>
      <c r="AI143" s="1">
        <v>14</v>
      </c>
      <c r="AJ143" s="1">
        <f>VLOOKUP(X143,[4]ölçme_sistemleri!I:M,5,FALSE)</f>
        <v>1</v>
      </c>
      <c r="AK143" s="1">
        <f t="shared" si="87"/>
        <v>210</v>
      </c>
      <c r="AL143" s="1">
        <f>AI143*1</f>
        <v>14</v>
      </c>
      <c r="AM143" s="1">
        <f>VLOOKUP(X143,[4]ölçme_sistemleri!I:N,6,FALSE)</f>
        <v>2</v>
      </c>
      <c r="AN143" s="1">
        <v>2</v>
      </c>
      <c r="AO143" s="1">
        <f t="shared" si="88"/>
        <v>4</v>
      </c>
      <c r="AP143" s="1">
        <v>14</v>
      </c>
      <c r="AQ143" s="1">
        <f t="shared" si="105"/>
        <v>42</v>
      </c>
      <c r="AR143" s="1">
        <f t="shared" si="89"/>
        <v>75</v>
      </c>
      <c r="AS143" s="1">
        <f>IF(BE143="s",25,25)</f>
        <v>25</v>
      </c>
      <c r="AT143" s="1">
        <f t="shared" si="90"/>
        <v>3</v>
      </c>
      <c r="AU143" s="1">
        <f t="shared" si="106"/>
        <v>0</v>
      </c>
      <c r="AV143" s="1">
        <f t="shared" si="96"/>
        <v>0</v>
      </c>
      <c r="AW143" s="1">
        <f t="shared" si="97"/>
        <v>0</v>
      </c>
      <c r="AX143" s="1">
        <f t="shared" si="98"/>
        <v>0</v>
      </c>
      <c r="AY143" s="1">
        <f t="shared" si="91"/>
        <v>-15</v>
      </c>
      <c r="AZ143" s="1">
        <f t="shared" si="99"/>
        <v>0</v>
      </c>
      <c r="BA143" s="1">
        <f t="shared" si="92"/>
        <v>-14</v>
      </c>
      <c r="BB143" s="1">
        <f t="shared" si="100"/>
        <v>0</v>
      </c>
      <c r="BC143" s="1">
        <f t="shared" si="93"/>
        <v>-4</v>
      </c>
      <c r="BD143" s="1">
        <f t="shared" si="94"/>
        <v>0</v>
      </c>
      <c r="BE143" s="1" t="s">
        <v>65</v>
      </c>
      <c r="BF143" s="1">
        <f t="shared" si="101"/>
        <v>42</v>
      </c>
      <c r="BG143" s="1">
        <f t="shared" si="102"/>
        <v>42</v>
      </c>
      <c r="BH143" s="1">
        <f t="shared" si="95"/>
        <v>1</v>
      </c>
      <c r="BI143" s="1" t="e">
        <f>IF(BH143-#REF!=0,"DOĞRU","YANLIŞ")</f>
        <v>#REF!</v>
      </c>
      <c r="BJ143" s="1" t="e">
        <f>#REF!-BH143</f>
        <v>#REF!</v>
      </c>
      <c r="BK143" s="1">
        <v>0</v>
      </c>
      <c r="BM143" s="1">
        <v>1</v>
      </c>
      <c r="BO143" s="1">
        <v>2</v>
      </c>
      <c r="BT143" s="8">
        <f t="shared" si="107"/>
        <v>0</v>
      </c>
      <c r="BU143" s="9"/>
      <c r="BV143" s="10"/>
      <c r="BW143" s="11"/>
      <c r="BX143" s="11"/>
      <c r="BY143" s="11"/>
      <c r="BZ143" s="11"/>
      <c r="CA143" s="11"/>
      <c r="CB143" s="12"/>
      <c r="CC143" s="13"/>
      <c r="CD143" s="14"/>
      <c r="CL143" s="11"/>
      <c r="CM143" s="11"/>
      <c r="CN143" s="11"/>
      <c r="CO143" s="11"/>
      <c r="CP143" s="11"/>
      <c r="CQ143" s="46"/>
      <c r="CR143" s="46"/>
      <c r="CS143" s="48"/>
      <c r="CT143" s="48"/>
      <c r="CU143" s="48"/>
      <c r="CV143" s="48"/>
      <c r="CW143" s="49"/>
      <c r="CX143" s="49"/>
    </row>
    <row r="144" spans="1:102" hidden="1" x14ac:dyDescent="0.25">
      <c r="A144" s="1" t="s">
        <v>386</v>
      </c>
      <c r="B144" s="1" t="s">
        <v>200</v>
      </c>
      <c r="C144" s="1" t="s">
        <v>200</v>
      </c>
      <c r="D144" s="2" t="s">
        <v>58</v>
      </c>
      <c r="E144" s="2" t="s">
        <v>58</v>
      </c>
      <c r="F144" s="3" t="e">
        <f>IF(BE144="S",
IF(#REF!+BM144=2018,
IF(#REF!=1,"18-19/1",
IF(#REF!=2,"18-19/2",
IF(#REF!=3,"19-20/1",
IF(#REF!=4,"19-20/2",
IF(#REF!=5,"20-21/1",
IF(#REF!=6,"20-21/2",
IF(#REF!=7,"21-22/1",
IF(#REF!=8,"21-22/2","Hata1")))))))),
IF(#REF!+BM144=2019,
IF(#REF!=1,"19-20/1",
IF(#REF!=2,"19-20/2",
IF(#REF!=3,"20-21/1",
IF(#REF!=4,"20-21/2",
IF(#REF!=5,"21-22/1",
IF(#REF!=6,"21-22/2",
IF(#REF!=7,"22-23/1",
IF(#REF!=8,"22-23/2","Hata2")))))))),
IF(#REF!+BM144=2020,
IF(#REF!=1,"20-21/1",
IF(#REF!=2,"20-21/2",
IF(#REF!=3,"21-22/1",
IF(#REF!=4,"21-22/2",
IF(#REF!=5,"22-23/1",
IF(#REF!=6,"22-23/2",
IF(#REF!=7,"23-24/1",
IF(#REF!=8,"23-24/2","Hata3")))))))),
IF(#REF!+BM144=2021,
IF(#REF!=1,"21-22/1",
IF(#REF!=2,"21-22/2",
IF(#REF!=3,"22-23/1",
IF(#REF!=4,"22-23/2",
IF(#REF!=5,"23-24/1",
IF(#REF!=6,"23-24/2",
IF(#REF!=7,"24-25/1",
IF(#REF!=8,"24-25/2","Hata4")))))))),
IF(#REF!+BM144=2022,
IF(#REF!=1,"22-23/1",
IF(#REF!=2,"22-23/2",
IF(#REF!=3,"23-24/1",
IF(#REF!=4,"23-24/2",
IF(#REF!=5,"24-25/1",
IF(#REF!=6,"24-25/2",
IF(#REF!=7,"25-26/1",
IF(#REF!=8,"25-26/2","Hata5")))))))),
IF(#REF!+BM144=2023,
IF(#REF!=1,"23-24/1",
IF(#REF!=2,"23-24/2",
IF(#REF!=3,"24-25/1",
IF(#REF!=4,"24-25/2",
IF(#REF!=5,"25-26/1",
IF(#REF!=6,"25-26/2",
IF(#REF!=7,"26-27/1",
IF(#REF!=8,"26-27/2","Hata6")))))))),
)))))),
IF(BE144="T",
IF(#REF!+BM144=2018,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144" s="3">
        <v>0</v>
      </c>
      <c r="I144" s="1" t="s">
        <v>75</v>
      </c>
      <c r="J144" s="1">
        <v>4234776</v>
      </c>
      <c r="N144" s="2">
        <v>2</v>
      </c>
      <c r="O144" s="6">
        <f t="shared" si="81"/>
        <v>1.5</v>
      </c>
      <c r="P144" s="2">
        <f t="shared" si="82"/>
        <v>2</v>
      </c>
      <c r="Q144" s="2">
        <v>1</v>
      </c>
      <c r="R144" s="2">
        <v>1</v>
      </c>
      <c r="S144" s="2">
        <v>0</v>
      </c>
      <c r="X144" s="3">
        <v>4</v>
      </c>
      <c r="Y144" s="1">
        <f>VLOOKUP(X144,[20]ölçme_sistemleri!I:L,2,FALSE)</f>
        <v>0</v>
      </c>
      <c r="Z144" s="1">
        <f>VLOOKUP(X144,[20]ölçme_sistemleri!I:L,3,FALSE)</f>
        <v>1</v>
      </c>
      <c r="AA144" s="1">
        <f>VLOOKUP(X144,[20]ölçme_sistemleri!I:L,4,FALSE)</f>
        <v>1</v>
      </c>
      <c r="AB144" s="1">
        <f>$O144*[20]ölçme_sistemleri!J$13</f>
        <v>1.5</v>
      </c>
      <c r="AC144" s="1">
        <f>$O144*[20]ölçme_sistemleri!K$13</f>
        <v>3</v>
      </c>
      <c r="AD144" s="1">
        <f>$O144*[20]ölçme_sistemleri!L$13</f>
        <v>4.5</v>
      </c>
      <c r="AE144" s="1">
        <f t="shared" si="83"/>
        <v>0</v>
      </c>
      <c r="AF144" s="1">
        <f t="shared" si="84"/>
        <v>3</v>
      </c>
      <c r="AG144" s="1">
        <f t="shared" si="85"/>
        <v>4.5</v>
      </c>
      <c r="AH144" s="1">
        <f t="shared" si="86"/>
        <v>7.5</v>
      </c>
      <c r="AI144" s="1">
        <v>14</v>
      </c>
      <c r="AJ144" s="1">
        <f>VLOOKUP(X144,[20]ölçme_sistemleri!I:M,5,FALSE)</f>
        <v>1</v>
      </c>
      <c r="AK144" s="1">
        <f t="shared" si="87"/>
        <v>105</v>
      </c>
      <c r="AL144" s="1">
        <f t="shared" ref="AL144:AL152" si="108">(Q144+S144)*AI144</f>
        <v>14</v>
      </c>
      <c r="AM144" s="1">
        <f>VLOOKUP(X144,[20]ölçme_sistemleri!I:N,6,FALSE)</f>
        <v>2</v>
      </c>
      <c r="AN144" s="1">
        <v>2</v>
      </c>
      <c r="AO144" s="1">
        <f t="shared" si="88"/>
        <v>4</v>
      </c>
      <c r="AP144" s="1">
        <v>14</v>
      </c>
      <c r="AQ144" s="1">
        <f t="shared" si="105"/>
        <v>28</v>
      </c>
      <c r="AR144" s="1">
        <f t="shared" si="89"/>
        <v>53.5</v>
      </c>
      <c r="AS144" s="1">
        <f>IF(BE144="s",25,30)</f>
        <v>25</v>
      </c>
      <c r="AT144" s="1">
        <f t="shared" si="90"/>
        <v>2</v>
      </c>
      <c r="AU144" s="1">
        <f t="shared" si="106"/>
        <v>0</v>
      </c>
      <c r="AV144" s="1">
        <f t="shared" si="96"/>
        <v>0</v>
      </c>
      <c r="AW144" s="1">
        <f t="shared" si="97"/>
        <v>0</v>
      </c>
      <c r="AX144" s="1">
        <f t="shared" si="98"/>
        <v>0</v>
      </c>
      <c r="AY144" s="1">
        <f t="shared" si="91"/>
        <v>-7.5</v>
      </c>
      <c r="AZ144" s="1">
        <f t="shared" si="99"/>
        <v>0</v>
      </c>
      <c r="BA144" s="1">
        <f t="shared" si="92"/>
        <v>-14</v>
      </c>
      <c r="BB144" s="1">
        <f t="shared" si="100"/>
        <v>0</v>
      </c>
      <c r="BC144" s="1">
        <f t="shared" si="93"/>
        <v>-4</v>
      </c>
      <c r="BD144" s="1">
        <f t="shared" si="94"/>
        <v>0</v>
      </c>
      <c r="BE144" s="1" t="s">
        <v>65</v>
      </c>
      <c r="BF144" s="1">
        <f t="shared" si="101"/>
        <v>21</v>
      </c>
      <c r="BG144" s="1">
        <f t="shared" si="102"/>
        <v>21</v>
      </c>
      <c r="BH144" s="1">
        <f t="shared" si="95"/>
        <v>1</v>
      </c>
      <c r="BI144" s="1" t="e">
        <f>IF(BH144-#REF!=0,"DOĞRU","YANLIŞ")</f>
        <v>#REF!</v>
      </c>
      <c r="BJ144" s="1" t="e">
        <f>#REF!-BH144</f>
        <v>#REF!</v>
      </c>
      <c r="BK144" s="1">
        <v>0</v>
      </c>
      <c r="BM144" s="1">
        <v>1</v>
      </c>
      <c r="BO144" s="1">
        <v>2</v>
      </c>
      <c r="BT144" s="8">
        <f t="shared" si="107"/>
        <v>14</v>
      </c>
      <c r="BU144" s="9"/>
      <c r="BV144" s="10"/>
      <c r="BW144" s="11"/>
      <c r="BX144" s="11"/>
      <c r="BY144" s="11"/>
      <c r="BZ144" s="11"/>
      <c r="CA144" s="11"/>
      <c r="CB144" s="12"/>
      <c r="CC144" s="13"/>
      <c r="CD144" s="14"/>
      <c r="CL144" s="11"/>
      <c r="CM144" s="11"/>
      <c r="CN144" s="11"/>
      <c r="CO144" s="11"/>
      <c r="CP144" s="11"/>
      <c r="CQ144" s="54"/>
      <c r="CR144" s="55"/>
      <c r="CS144" s="54"/>
      <c r="CT144" s="55"/>
      <c r="CU144" s="48"/>
      <c r="CV144" s="48"/>
      <c r="CW144" s="49"/>
      <c r="CX144" s="49"/>
    </row>
    <row r="145" spans="1:102" hidden="1" x14ac:dyDescent="0.25">
      <c r="A145" s="1" t="s">
        <v>211</v>
      </c>
      <c r="B145" s="1" t="s">
        <v>212</v>
      </c>
      <c r="C145" s="1" t="s">
        <v>212</v>
      </c>
      <c r="D145" s="2" t="s">
        <v>58</v>
      </c>
      <c r="E145" s="2" t="s">
        <v>58</v>
      </c>
      <c r="F145" s="3" t="e">
        <f>IF(BE145="S",
IF(#REF!+BM145=2018,
IF(#REF!=1,"18-19/1",
IF(#REF!=2,"18-19/2",
IF(#REF!=3,"19-20/1",
IF(#REF!=4,"19-20/2",
IF(#REF!=5,"20-21/1",
IF(#REF!=6,"20-21/2",
IF(#REF!=7,"21-22/1",
IF(#REF!=8,"21-22/2","Hata1")))))))),
IF(#REF!+BM145=2019,
IF(#REF!=1,"19-20/1",
IF(#REF!=2,"19-20/2",
IF(#REF!=3,"20-21/1",
IF(#REF!=4,"20-21/2",
IF(#REF!=5,"21-22/1",
IF(#REF!=6,"21-22/2",
IF(#REF!=7,"22-23/1",
IF(#REF!=8,"22-23/2","Hata2")))))))),
IF(#REF!+BM145=2020,
IF(#REF!=1,"20-21/1",
IF(#REF!=2,"20-21/2",
IF(#REF!=3,"21-22/1",
IF(#REF!=4,"21-22/2",
IF(#REF!=5,"22-23/1",
IF(#REF!=6,"22-23/2",
IF(#REF!=7,"23-24/1",
IF(#REF!=8,"23-24/2","Hata3")))))))),
IF(#REF!+BM145=2021,
IF(#REF!=1,"21-22/1",
IF(#REF!=2,"21-22/2",
IF(#REF!=3,"22-23/1",
IF(#REF!=4,"22-23/2",
IF(#REF!=5,"23-24/1",
IF(#REF!=6,"23-24/2",
IF(#REF!=7,"24-25/1",
IF(#REF!=8,"24-25/2","Hata4")))))))),
IF(#REF!+BM145=2022,
IF(#REF!=1,"22-23/1",
IF(#REF!=2,"22-23/2",
IF(#REF!=3,"23-24/1",
IF(#REF!=4,"23-24/2",
IF(#REF!=5,"24-25/1",
IF(#REF!=6,"24-25/2",
IF(#REF!=7,"25-26/1",
IF(#REF!=8,"25-26/2","Hata5")))))))),
IF(#REF!+BM145=2023,
IF(#REF!=1,"23-24/1",
IF(#REF!=2,"23-24/2",
IF(#REF!=3,"24-25/1",
IF(#REF!=4,"24-25/2",
IF(#REF!=5,"25-26/1",
IF(#REF!=6,"25-26/2",
IF(#REF!=7,"26-27/1",
IF(#REF!=8,"26-27/2","Hata6")))))))),
)))))),
IF(BE145="T",
IF(#REF!+BM145=2018,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5" s="1" t="s">
        <v>75</v>
      </c>
      <c r="J145" s="1">
        <v>4234776</v>
      </c>
      <c r="N145" s="2">
        <v>5</v>
      </c>
      <c r="O145" s="6">
        <f t="shared" si="81"/>
        <v>3</v>
      </c>
      <c r="P145" s="2">
        <f t="shared" si="82"/>
        <v>3</v>
      </c>
      <c r="Q145" s="2">
        <v>3</v>
      </c>
      <c r="R145" s="2">
        <v>0</v>
      </c>
      <c r="S145" s="2">
        <v>0</v>
      </c>
      <c r="X145" s="3">
        <v>3</v>
      </c>
      <c r="Y145" s="1">
        <f>VLOOKUP(X145,[20]ölçme_sistemleri!I:L,2,FALSE)</f>
        <v>2</v>
      </c>
      <c r="Z145" s="1">
        <f>VLOOKUP(X145,[20]ölçme_sistemleri!I:L,3,FALSE)</f>
        <v>1</v>
      </c>
      <c r="AA145" s="1">
        <f>VLOOKUP(X145,[20]ölçme_sistemleri!I:L,4,FALSE)</f>
        <v>1</v>
      </c>
      <c r="AB145" s="1">
        <f>$O145*[20]ölçme_sistemleri!J$13</f>
        <v>3</v>
      </c>
      <c r="AC145" s="1">
        <f>$O145*[20]ölçme_sistemleri!K$13</f>
        <v>6</v>
      </c>
      <c r="AD145" s="1">
        <f>$O145*[20]ölçme_sistemleri!L$13</f>
        <v>9</v>
      </c>
      <c r="AE145" s="1">
        <f t="shared" si="83"/>
        <v>6</v>
      </c>
      <c r="AF145" s="1">
        <f t="shared" si="84"/>
        <v>6</v>
      </c>
      <c r="AG145" s="1">
        <f t="shared" si="85"/>
        <v>9</v>
      </c>
      <c r="AH145" s="1">
        <f t="shared" si="86"/>
        <v>21</v>
      </c>
      <c r="AI145" s="1">
        <v>14</v>
      </c>
      <c r="AJ145" s="1">
        <f>VLOOKUP(X145,[20]ölçme_sistemleri!I:M,5,FALSE)</f>
        <v>3</v>
      </c>
      <c r="AK145" s="1">
        <f t="shared" si="87"/>
        <v>294</v>
      </c>
      <c r="AL145" s="1">
        <f t="shared" si="108"/>
        <v>42</v>
      </c>
      <c r="AM145" s="1">
        <f>VLOOKUP(X145,[20]ölçme_sistemleri!I:N,6,FALSE)</f>
        <v>4</v>
      </c>
      <c r="AN145" s="1">
        <v>2</v>
      </c>
      <c r="AO145" s="1">
        <f t="shared" si="88"/>
        <v>8</v>
      </c>
      <c r="AP145" s="1">
        <v>14</v>
      </c>
      <c r="AQ145" s="1">
        <f t="shared" si="105"/>
        <v>42</v>
      </c>
      <c r="AR145" s="1">
        <f t="shared" si="89"/>
        <v>113</v>
      </c>
      <c r="AS145" s="1">
        <f>IF(BE145="s",25,30)</f>
        <v>25</v>
      </c>
      <c r="AT145" s="1">
        <f t="shared" si="90"/>
        <v>5</v>
      </c>
      <c r="AU145" s="1">
        <f t="shared" si="106"/>
        <v>0</v>
      </c>
      <c r="AV145" s="1">
        <f t="shared" si="96"/>
        <v>0</v>
      </c>
      <c r="AW145" s="1">
        <f t="shared" si="97"/>
        <v>0</v>
      </c>
      <c r="AX145" s="1">
        <f t="shared" si="98"/>
        <v>0</v>
      </c>
      <c r="AY145" s="1">
        <f t="shared" si="91"/>
        <v>-21</v>
      </c>
      <c r="AZ145" s="1">
        <f t="shared" si="99"/>
        <v>0</v>
      </c>
      <c r="BA145" s="1">
        <f t="shared" si="92"/>
        <v>-42</v>
      </c>
      <c r="BB145" s="1">
        <f t="shared" si="100"/>
        <v>0</v>
      </c>
      <c r="BC145" s="1">
        <f t="shared" si="93"/>
        <v>-8</v>
      </c>
      <c r="BD145" s="1">
        <f t="shared" si="94"/>
        <v>0</v>
      </c>
      <c r="BE145" s="1" t="s">
        <v>65</v>
      </c>
      <c r="BF145" s="1">
        <f t="shared" si="101"/>
        <v>42</v>
      </c>
      <c r="BG145" s="1">
        <f t="shared" si="102"/>
        <v>42</v>
      </c>
      <c r="BH145" s="1">
        <f t="shared" si="95"/>
        <v>1</v>
      </c>
      <c r="BI145" s="1" t="e">
        <f>IF(BH145-#REF!=0,"DOĞRU","YANLIŞ")</f>
        <v>#REF!</v>
      </c>
      <c r="BJ145" s="1" t="e">
        <f>#REF!-BH145</f>
        <v>#REF!</v>
      </c>
      <c r="BK145" s="1">
        <v>1</v>
      </c>
      <c r="BM145" s="1">
        <v>1</v>
      </c>
      <c r="BO145" s="1">
        <v>4</v>
      </c>
      <c r="BT145" s="8">
        <f t="shared" si="107"/>
        <v>0</v>
      </c>
      <c r="BU145" s="9"/>
      <c r="BV145" s="10"/>
      <c r="BW145" s="11"/>
      <c r="BX145" s="11"/>
      <c r="BY145" s="11"/>
      <c r="BZ145" s="11"/>
      <c r="CA145" s="11"/>
      <c r="CB145" s="12"/>
      <c r="CC145" s="13"/>
      <c r="CD145" s="14"/>
      <c r="CL145" s="11"/>
      <c r="CM145" s="11"/>
      <c r="CN145" s="11"/>
      <c r="CO145" s="11"/>
      <c r="CP145" s="11"/>
      <c r="CQ145" s="54"/>
      <c r="CR145" s="55"/>
      <c r="CS145" s="54"/>
      <c r="CT145" s="46"/>
      <c r="CU145" s="48"/>
      <c r="CV145" s="48"/>
      <c r="CW145" s="49"/>
      <c r="CX145" s="49"/>
    </row>
    <row r="146" spans="1:102" hidden="1" x14ac:dyDescent="0.25">
      <c r="A146" s="1" t="s">
        <v>378</v>
      </c>
      <c r="B146" s="1" t="s">
        <v>379</v>
      </c>
      <c r="C146" s="1" t="s">
        <v>379</v>
      </c>
      <c r="D146" s="2" t="s">
        <v>58</v>
      </c>
      <c r="E146" s="2" t="s">
        <v>58</v>
      </c>
      <c r="F146" s="3" t="e">
        <f>IF(BE146="S",
IF(#REF!+BM146=2018,
IF(#REF!=1,"18-19/1",
IF(#REF!=2,"18-19/2",
IF(#REF!=3,"19-20/1",
IF(#REF!=4,"19-20/2",
IF(#REF!=5,"20-21/1",
IF(#REF!=6,"20-21/2",
IF(#REF!=7,"21-22/1",
IF(#REF!=8,"21-22/2","Hata1")))))))),
IF(#REF!+BM146=2019,
IF(#REF!=1,"19-20/1",
IF(#REF!=2,"19-20/2",
IF(#REF!=3,"20-21/1",
IF(#REF!=4,"20-21/2",
IF(#REF!=5,"21-22/1",
IF(#REF!=6,"21-22/2",
IF(#REF!=7,"22-23/1",
IF(#REF!=8,"22-23/2","Hata2")))))))),
IF(#REF!+BM146=2020,
IF(#REF!=1,"20-21/1",
IF(#REF!=2,"20-21/2",
IF(#REF!=3,"21-22/1",
IF(#REF!=4,"21-22/2",
IF(#REF!=5,"22-23/1",
IF(#REF!=6,"22-23/2",
IF(#REF!=7,"23-24/1",
IF(#REF!=8,"23-24/2","Hata3")))))))),
IF(#REF!+BM146=2021,
IF(#REF!=1,"21-22/1",
IF(#REF!=2,"21-22/2",
IF(#REF!=3,"22-23/1",
IF(#REF!=4,"22-23/2",
IF(#REF!=5,"23-24/1",
IF(#REF!=6,"23-24/2",
IF(#REF!=7,"24-25/1",
IF(#REF!=8,"24-25/2","Hata4")))))))),
IF(#REF!+BM146=2022,
IF(#REF!=1,"22-23/1",
IF(#REF!=2,"22-23/2",
IF(#REF!=3,"23-24/1",
IF(#REF!=4,"23-24/2",
IF(#REF!=5,"24-25/1",
IF(#REF!=6,"24-25/2",
IF(#REF!=7,"25-26/1",
IF(#REF!=8,"25-26/2","Hata5")))))))),
IF(#REF!+BM146=2023,
IF(#REF!=1,"23-24/1",
IF(#REF!=2,"23-24/2",
IF(#REF!=3,"24-25/1",
IF(#REF!=4,"24-25/2",
IF(#REF!=5,"25-26/1",
IF(#REF!=6,"25-26/2",
IF(#REF!=7,"26-27/1",
IF(#REF!=8,"26-27/2","Hata6")))))))),
)))))),
IF(BE146="T",
IF(#REF!+BM146=2018,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6" s="1" t="s">
        <v>75</v>
      </c>
      <c r="J146" s="1">
        <v>4234776</v>
      </c>
      <c r="L146" s="2">
        <v>470</v>
      </c>
      <c r="N146" s="2">
        <v>5</v>
      </c>
      <c r="O146" s="6">
        <f t="shared" si="81"/>
        <v>3</v>
      </c>
      <c r="P146" s="2">
        <f t="shared" si="82"/>
        <v>3</v>
      </c>
      <c r="Q146" s="2">
        <v>3</v>
      </c>
      <c r="R146" s="2">
        <v>0</v>
      </c>
      <c r="S146" s="2">
        <v>0</v>
      </c>
      <c r="X146" s="3">
        <v>3</v>
      </c>
      <c r="Y146" s="1">
        <f>VLOOKUP(X146,[20]ölçme_sistemleri!I:L,2,FALSE)</f>
        <v>2</v>
      </c>
      <c r="Z146" s="1">
        <f>VLOOKUP(X146,[20]ölçme_sistemleri!I:L,3,FALSE)</f>
        <v>1</v>
      </c>
      <c r="AA146" s="1">
        <f>VLOOKUP(X146,[20]ölçme_sistemleri!I:L,4,FALSE)</f>
        <v>1</v>
      </c>
      <c r="AB146" s="1">
        <f>$O146*[20]ölçme_sistemleri!J$13</f>
        <v>3</v>
      </c>
      <c r="AC146" s="1">
        <f>$O146*[20]ölçme_sistemleri!K$13</f>
        <v>6</v>
      </c>
      <c r="AD146" s="1">
        <f>$O146*[20]ölçme_sistemleri!L$13</f>
        <v>9</v>
      </c>
      <c r="AE146" s="1">
        <f t="shared" si="83"/>
        <v>6</v>
      </c>
      <c r="AF146" s="1">
        <f t="shared" si="84"/>
        <v>6</v>
      </c>
      <c r="AG146" s="1">
        <f t="shared" si="85"/>
        <v>9</v>
      </c>
      <c r="AH146" s="1">
        <f t="shared" si="86"/>
        <v>21</v>
      </c>
      <c r="AI146" s="1">
        <v>14</v>
      </c>
      <c r="AJ146" s="1">
        <f>VLOOKUP(X146,[20]ölçme_sistemleri!I:M,5,FALSE)</f>
        <v>3</v>
      </c>
      <c r="AK146" s="1">
        <f t="shared" si="87"/>
        <v>294</v>
      </c>
      <c r="AL146" s="1">
        <f t="shared" si="108"/>
        <v>42</v>
      </c>
      <c r="AM146" s="1">
        <f>VLOOKUP(X146,[20]ölçme_sistemleri!I:N,6,FALSE)</f>
        <v>4</v>
      </c>
      <c r="AN146" s="1">
        <v>2</v>
      </c>
      <c r="AO146" s="1">
        <f t="shared" si="88"/>
        <v>8</v>
      </c>
      <c r="AP146" s="1">
        <v>14</v>
      </c>
      <c r="AQ146" s="1">
        <f t="shared" si="105"/>
        <v>42</v>
      </c>
      <c r="AR146" s="1">
        <f t="shared" si="89"/>
        <v>113</v>
      </c>
      <c r="AS146" s="1">
        <f>IF(BE146="s",25,30)</f>
        <v>25</v>
      </c>
      <c r="AT146" s="1">
        <f t="shared" si="90"/>
        <v>5</v>
      </c>
      <c r="AU146" s="1">
        <f t="shared" si="106"/>
        <v>0</v>
      </c>
      <c r="AV146" s="1">
        <f t="shared" si="96"/>
        <v>0</v>
      </c>
      <c r="AW146" s="1">
        <f t="shared" si="97"/>
        <v>0</v>
      </c>
      <c r="AX146" s="1">
        <f t="shared" si="98"/>
        <v>0</v>
      </c>
      <c r="AY146" s="1">
        <f t="shared" si="91"/>
        <v>-21</v>
      </c>
      <c r="AZ146" s="1">
        <f t="shared" si="99"/>
        <v>0</v>
      </c>
      <c r="BA146" s="1">
        <f t="shared" si="92"/>
        <v>-42</v>
      </c>
      <c r="BB146" s="1">
        <f t="shared" si="100"/>
        <v>0</v>
      </c>
      <c r="BC146" s="1">
        <f t="shared" si="93"/>
        <v>-8</v>
      </c>
      <c r="BD146" s="1">
        <f t="shared" si="94"/>
        <v>0</v>
      </c>
      <c r="BE146" s="1" t="s">
        <v>65</v>
      </c>
      <c r="BF146" s="1">
        <f t="shared" si="101"/>
        <v>42</v>
      </c>
      <c r="BG146" s="1">
        <f t="shared" si="102"/>
        <v>42</v>
      </c>
      <c r="BH146" s="1">
        <f t="shared" si="95"/>
        <v>1</v>
      </c>
      <c r="BI146" s="1" t="e">
        <f>IF(BH146-#REF!=0,"DOĞRU","YANLIŞ")</f>
        <v>#REF!</v>
      </c>
      <c r="BJ146" s="1" t="e">
        <f>#REF!-BH146</f>
        <v>#REF!</v>
      </c>
      <c r="BK146" s="1">
        <v>1</v>
      </c>
      <c r="BM146" s="1">
        <v>0</v>
      </c>
      <c r="BO146" s="1">
        <v>2</v>
      </c>
      <c r="BT146" s="8">
        <f t="shared" si="107"/>
        <v>0</v>
      </c>
      <c r="BU146" s="9"/>
      <c r="BV146" s="10"/>
      <c r="BW146" s="11"/>
      <c r="BX146" s="11"/>
      <c r="BY146" s="11"/>
      <c r="BZ146" s="11"/>
      <c r="CA146" s="11"/>
      <c r="CB146" s="12"/>
      <c r="CC146" s="13"/>
      <c r="CD146" s="14"/>
      <c r="CL146" s="11"/>
      <c r="CM146" s="11"/>
      <c r="CN146" s="11"/>
      <c r="CO146" s="11"/>
      <c r="CP146" s="11"/>
      <c r="CQ146" s="46"/>
      <c r="CR146" s="46"/>
      <c r="CS146" s="48"/>
      <c r="CT146" s="48"/>
      <c r="CU146" s="48"/>
      <c r="CV146" s="48"/>
      <c r="CW146" s="49"/>
      <c r="CX146" s="49"/>
    </row>
    <row r="147" spans="1:102" hidden="1" x14ac:dyDescent="0.25">
      <c r="A147" s="1" t="s">
        <v>213</v>
      </c>
      <c r="B147" s="1" t="s">
        <v>214</v>
      </c>
      <c r="C147" s="1" t="s">
        <v>214</v>
      </c>
      <c r="D147" s="2" t="s">
        <v>58</v>
      </c>
      <c r="E147" s="2" t="s">
        <v>58</v>
      </c>
      <c r="F147" s="3" t="e">
        <f>IF(BE147="S",
IF(#REF!+BM147=2018,
IF(#REF!=1,"18-19/1",
IF(#REF!=2,"18-19/2",
IF(#REF!=3,"19-20/1",
IF(#REF!=4,"19-20/2",
IF(#REF!=5,"20-21/1",
IF(#REF!=6,"20-21/2",
IF(#REF!=7,"21-22/1",
IF(#REF!=8,"21-22/2","Hata1")))))))),
IF(#REF!+BM147=2019,
IF(#REF!=1,"19-20/1",
IF(#REF!=2,"19-20/2",
IF(#REF!=3,"20-21/1",
IF(#REF!=4,"20-21/2",
IF(#REF!=5,"21-22/1",
IF(#REF!=6,"21-22/2",
IF(#REF!=7,"22-23/1",
IF(#REF!=8,"22-23/2","Hata2")))))))),
IF(#REF!+BM147=2020,
IF(#REF!=1,"20-21/1",
IF(#REF!=2,"20-21/2",
IF(#REF!=3,"21-22/1",
IF(#REF!=4,"21-22/2",
IF(#REF!=5,"22-23/1",
IF(#REF!=6,"22-23/2",
IF(#REF!=7,"23-24/1",
IF(#REF!=8,"23-24/2","Hata3")))))))),
IF(#REF!+BM147=2021,
IF(#REF!=1,"21-22/1",
IF(#REF!=2,"21-22/2",
IF(#REF!=3,"22-23/1",
IF(#REF!=4,"22-23/2",
IF(#REF!=5,"23-24/1",
IF(#REF!=6,"23-24/2",
IF(#REF!=7,"24-25/1",
IF(#REF!=8,"24-25/2","Hata4")))))))),
IF(#REF!+BM147=2022,
IF(#REF!=1,"22-23/1",
IF(#REF!=2,"22-23/2",
IF(#REF!=3,"23-24/1",
IF(#REF!=4,"23-24/2",
IF(#REF!=5,"24-25/1",
IF(#REF!=6,"24-25/2",
IF(#REF!=7,"25-26/1",
IF(#REF!=8,"25-26/2","Hata5")))))))),
IF(#REF!+BM147=2023,
IF(#REF!=1,"23-24/1",
IF(#REF!=2,"23-24/2",
IF(#REF!=3,"24-25/1",
IF(#REF!=4,"24-25/2",
IF(#REF!=5,"25-26/1",
IF(#REF!=6,"25-26/2",
IF(#REF!=7,"26-27/1",
IF(#REF!=8,"26-27/2","Hata6")))))))),
)))))),
IF(BE147="T",
IF(#REF!+BM147=2018,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7" s="1" t="s">
        <v>75</v>
      </c>
      <c r="J147" s="1">
        <v>4234776</v>
      </c>
      <c r="N147" s="2">
        <v>5</v>
      </c>
      <c r="O147" s="6">
        <f t="shared" si="81"/>
        <v>3</v>
      </c>
      <c r="P147" s="2">
        <f t="shared" si="82"/>
        <v>3</v>
      </c>
      <c r="Q147" s="2">
        <v>3</v>
      </c>
      <c r="R147" s="2">
        <v>0</v>
      </c>
      <c r="S147" s="2">
        <v>0</v>
      </c>
      <c r="X147" s="3">
        <v>3</v>
      </c>
      <c r="Y147" s="1">
        <f>VLOOKUP(X147,[20]ölçme_sistemleri!I:L,2,FALSE)</f>
        <v>2</v>
      </c>
      <c r="Z147" s="1">
        <f>VLOOKUP(X147,[20]ölçme_sistemleri!I:L,3,FALSE)</f>
        <v>1</v>
      </c>
      <c r="AA147" s="1">
        <f>VLOOKUP(X147,[20]ölçme_sistemleri!I:L,4,FALSE)</f>
        <v>1</v>
      </c>
      <c r="AB147" s="1">
        <f>$O147*[20]ölçme_sistemleri!J$13</f>
        <v>3</v>
      </c>
      <c r="AC147" s="1">
        <f>$O147*[20]ölçme_sistemleri!K$13</f>
        <v>6</v>
      </c>
      <c r="AD147" s="1">
        <f>$O147*[20]ölçme_sistemleri!L$13</f>
        <v>9</v>
      </c>
      <c r="AE147" s="1">
        <f t="shared" si="83"/>
        <v>6</v>
      </c>
      <c r="AF147" s="1">
        <f t="shared" si="84"/>
        <v>6</v>
      </c>
      <c r="AG147" s="1">
        <f t="shared" si="85"/>
        <v>9</v>
      </c>
      <c r="AH147" s="1">
        <f t="shared" si="86"/>
        <v>21</v>
      </c>
      <c r="AI147" s="1">
        <v>14</v>
      </c>
      <c r="AJ147" s="1">
        <f>VLOOKUP(X147,[20]ölçme_sistemleri!I:M,5,FALSE)</f>
        <v>3</v>
      </c>
      <c r="AK147" s="1">
        <f t="shared" si="87"/>
        <v>294</v>
      </c>
      <c r="AL147" s="1">
        <f t="shared" si="108"/>
        <v>42</v>
      </c>
      <c r="AM147" s="1">
        <f>VLOOKUP(X147,[20]ölçme_sistemleri!I:N,6,FALSE)</f>
        <v>4</v>
      </c>
      <c r="AN147" s="1">
        <v>2</v>
      </c>
      <c r="AO147" s="1">
        <f t="shared" si="88"/>
        <v>8</v>
      </c>
      <c r="AP147" s="1">
        <v>14</v>
      </c>
      <c r="AQ147" s="1">
        <f t="shared" si="105"/>
        <v>42</v>
      </c>
      <c r="AR147" s="1">
        <f t="shared" si="89"/>
        <v>113</v>
      </c>
      <c r="AS147" s="1">
        <f>IF(BE147="s",25,30)</f>
        <v>25</v>
      </c>
      <c r="AT147" s="1">
        <f t="shared" si="90"/>
        <v>5</v>
      </c>
      <c r="AU147" s="1">
        <f t="shared" si="106"/>
        <v>0</v>
      </c>
      <c r="AV147" s="1">
        <f t="shared" si="96"/>
        <v>0</v>
      </c>
      <c r="AW147" s="1">
        <f t="shared" si="97"/>
        <v>0</v>
      </c>
      <c r="AX147" s="1">
        <f t="shared" si="98"/>
        <v>0</v>
      </c>
      <c r="AY147" s="1">
        <f t="shared" si="91"/>
        <v>-21</v>
      </c>
      <c r="AZ147" s="1">
        <f t="shared" si="99"/>
        <v>0</v>
      </c>
      <c r="BA147" s="1">
        <f t="shared" si="92"/>
        <v>-42</v>
      </c>
      <c r="BB147" s="1">
        <f t="shared" si="100"/>
        <v>0</v>
      </c>
      <c r="BC147" s="1">
        <f t="shared" si="93"/>
        <v>-8</v>
      </c>
      <c r="BD147" s="1">
        <f t="shared" si="94"/>
        <v>0</v>
      </c>
      <c r="BE147" s="1" t="s">
        <v>65</v>
      </c>
      <c r="BF147" s="1">
        <f t="shared" si="101"/>
        <v>42</v>
      </c>
      <c r="BG147" s="1">
        <f t="shared" si="102"/>
        <v>42</v>
      </c>
      <c r="BH147" s="1">
        <f t="shared" si="95"/>
        <v>1</v>
      </c>
      <c r="BI147" s="1" t="e">
        <f>IF(BH147-#REF!=0,"DOĞRU","YANLIŞ")</f>
        <v>#REF!</v>
      </c>
      <c r="BJ147" s="1" t="e">
        <f>#REF!-BH147</f>
        <v>#REF!</v>
      </c>
      <c r="BK147" s="1">
        <v>1</v>
      </c>
      <c r="BM147" s="1">
        <v>1</v>
      </c>
      <c r="BO147" s="1">
        <v>4</v>
      </c>
      <c r="BT147" s="8">
        <f t="shared" si="107"/>
        <v>0</v>
      </c>
      <c r="BU147" s="9"/>
      <c r="BV147" s="10"/>
      <c r="BW147" s="11"/>
      <c r="BX147" s="11"/>
      <c r="BY147" s="11"/>
      <c r="BZ147" s="11"/>
      <c r="CA147" s="11"/>
      <c r="CB147" s="12"/>
      <c r="CC147" s="13"/>
      <c r="CD147" s="14"/>
      <c r="CL147" s="11"/>
      <c r="CM147" s="11"/>
      <c r="CN147" s="11"/>
      <c r="CO147" s="11"/>
      <c r="CP147" s="11"/>
      <c r="CQ147" s="49"/>
      <c r="CR147" s="46"/>
      <c r="CS147" s="48"/>
      <c r="CT147" s="48"/>
      <c r="CU147" s="48"/>
      <c r="CV147" s="48"/>
      <c r="CW147" s="49"/>
      <c r="CX147" s="49"/>
    </row>
    <row r="148" spans="1:102" hidden="1" x14ac:dyDescent="0.25">
      <c r="A148" s="1" t="s">
        <v>357</v>
      </c>
      <c r="B148" s="1" t="s">
        <v>358</v>
      </c>
      <c r="C148" s="1" t="s">
        <v>358</v>
      </c>
      <c r="D148" s="2" t="s">
        <v>63</v>
      </c>
      <c r="E148" s="2" t="s">
        <v>63</v>
      </c>
      <c r="F148" s="3" t="e">
        <f>IF(BE148="S",
IF(#REF!+BM148=2018,
IF(#REF!=1,"18-19/1",
IF(#REF!=2,"18-19/2",
IF(#REF!=3,"19-20/1",
IF(#REF!=4,"19-20/2",
IF(#REF!=5,"20-21/1",
IF(#REF!=6,"20-21/2",
IF(#REF!=7,"21-22/1",
IF(#REF!=8,"21-22/2","Hata1")))))))),
IF(#REF!+BM148=2019,
IF(#REF!=1,"19-20/1",
IF(#REF!=2,"19-20/2",
IF(#REF!=3,"20-21/1",
IF(#REF!=4,"20-21/2",
IF(#REF!=5,"21-22/1",
IF(#REF!=6,"21-22/2",
IF(#REF!=7,"22-23/1",
IF(#REF!=8,"22-23/2","Hata2")))))))),
IF(#REF!+BM148=2020,
IF(#REF!=1,"20-21/1",
IF(#REF!=2,"20-21/2",
IF(#REF!=3,"21-22/1",
IF(#REF!=4,"21-22/2",
IF(#REF!=5,"22-23/1",
IF(#REF!=6,"22-23/2",
IF(#REF!=7,"23-24/1",
IF(#REF!=8,"23-24/2","Hata3")))))))),
IF(#REF!+BM148=2021,
IF(#REF!=1,"21-22/1",
IF(#REF!=2,"21-22/2",
IF(#REF!=3,"22-23/1",
IF(#REF!=4,"22-23/2",
IF(#REF!=5,"23-24/1",
IF(#REF!=6,"23-24/2",
IF(#REF!=7,"24-25/1",
IF(#REF!=8,"24-25/2","Hata4")))))))),
IF(#REF!+BM148=2022,
IF(#REF!=1,"22-23/1",
IF(#REF!=2,"22-23/2",
IF(#REF!=3,"23-24/1",
IF(#REF!=4,"23-24/2",
IF(#REF!=5,"24-25/1",
IF(#REF!=6,"24-25/2",
IF(#REF!=7,"25-26/1",
IF(#REF!=8,"25-26/2","Hata5")))))))),
IF(#REF!+BM148=2023,
IF(#REF!=1,"23-24/1",
IF(#REF!=2,"23-24/2",
IF(#REF!=3,"24-25/1",
IF(#REF!=4,"24-25/2",
IF(#REF!=5,"25-26/1",
IF(#REF!=6,"25-26/2",
IF(#REF!=7,"26-27/1",
IF(#REF!=8,"26-27/2","Hata6")))))))),
)))))),
IF(BE148="T",
IF(#REF!+BM148=2018,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8" s="1" t="s">
        <v>75</v>
      </c>
      <c r="J148" s="1">
        <v>4234776</v>
      </c>
      <c r="L148" s="2">
        <v>4366</v>
      </c>
      <c r="N148" s="2">
        <v>1</v>
      </c>
      <c r="O148" s="6">
        <f t="shared" si="81"/>
        <v>1</v>
      </c>
      <c r="P148" s="2">
        <f t="shared" si="82"/>
        <v>1</v>
      </c>
      <c r="Q148" s="2">
        <v>1</v>
      </c>
      <c r="R148" s="2">
        <v>0</v>
      </c>
      <c r="S148" s="2">
        <v>0</v>
      </c>
      <c r="X148" s="3">
        <v>0</v>
      </c>
      <c r="Y148" s="1">
        <f>VLOOKUP(X148,[4]ölçme_sistemleri!I:L,2,FALSE)</f>
        <v>0</v>
      </c>
      <c r="Z148" s="1">
        <f>VLOOKUP(X148,[4]ölçme_sistemleri!I:L,3,FALSE)</f>
        <v>0</v>
      </c>
      <c r="AA148" s="1">
        <f>VLOOKUP(X148,[4]ölçme_sistemleri!I:L,4,FALSE)</f>
        <v>0</v>
      </c>
      <c r="AB148" s="1">
        <f>$O148*[4]ölçme_sistemleri!J$13</f>
        <v>1</v>
      </c>
      <c r="AC148" s="1">
        <f>$O148*[4]ölçme_sistemleri!K$13</f>
        <v>2</v>
      </c>
      <c r="AD148" s="1">
        <f>$O148*[4]ölçme_sistemleri!L$13</f>
        <v>3</v>
      </c>
      <c r="AE148" s="1">
        <f t="shared" si="83"/>
        <v>0</v>
      </c>
      <c r="AF148" s="1">
        <f t="shared" si="84"/>
        <v>0</v>
      </c>
      <c r="AG148" s="1">
        <f t="shared" si="85"/>
        <v>0</v>
      </c>
      <c r="AH148" s="1">
        <f t="shared" si="86"/>
        <v>0</v>
      </c>
      <c r="AI148" s="1">
        <v>14</v>
      </c>
      <c r="AJ148" s="1">
        <f>VLOOKUP(X148,[4]ölçme_sistemleri!I:M,5,FALSE)</f>
        <v>0</v>
      </c>
      <c r="AK148" s="1">
        <f t="shared" si="87"/>
        <v>0</v>
      </c>
      <c r="AL148" s="1">
        <f t="shared" si="108"/>
        <v>14</v>
      </c>
      <c r="AM148" s="1">
        <f>VLOOKUP(X148,[4]ölçme_sistemleri!I:N,6,FALSE)</f>
        <v>0</v>
      </c>
      <c r="AN148" s="1">
        <v>2</v>
      </c>
      <c r="AO148" s="1">
        <f t="shared" si="88"/>
        <v>0</v>
      </c>
      <c r="AP148" s="1">
        <v>14</v>
      </c>
      <c r="AQ148" s="1">
        <f t="shared" si="105"/>
        <v>14</v>
      </c>
      <c r="AR148" s="1">
        <f t="shared" si="89"/>
        <v>28</v>
      </c>
      <c r="AS148" s="1">
        <f>IF(BE148="s",25,25)</f>
        <v>25</v>
      </c>
      <c r="AT148" s="1">
        <f t="shared" si="90"/>
        <v>1</v>
      </c>
      <c r="AU148" s="1">
        <f t="shared" si="106"/>
        <v>0</v>
      </c>
      <c r="AV148" s="1">
        <f t="shared" si="96"/>
        <v>0</v>
      </c>
      <c r="AW148" s="1">
        <f t="shared" si="97"/>
        <v>0</v>
      </c>
      <c r="AX148" s="1">
        <f t="shared" si="98"/>
        <v>0</v>
      </c>
      <c r="AY148" s="1">
        <f t="shared" si="91"/>
        <v>-3</v>
      </c>
      <c r="AZ148" s="1">
        <f t="shared" si="99"/>
        <v>0</v>
      </c>
      <c r="BA148" s="1">
        <f t="shared" si="92"/>
        <v>-14</v>
      </c>
      <c r="BB148" s="1">
        <f t="shared" si="100"/>
        <v>0</v>
      </c>
      <c r="BC148" s="1">
        <f t="shared" si="93"/>
        <v>0</v>
      </c>
      <c r="BD148" s="1">
        <f t="shared" si="94"/>
        <v>0</v>
      </c>
      <c r="BE148" s="1" t="s">
        <v>65</v>
      </c>
      <c r="BF148" s="1">
        <f t="shared" si="101"/>
        <v>14</v>
      </c>
      <c r="BG148" s="1">
        <f t="shared" si="102"/>
        <v>14</v>
      </c>
      <c r="BH148" s="1">
        <f t="shared" si="95"/>
        <v>0</v>
      </c>
      <c r="BI148" s="1" t="e">
        <f>IF(BH148-#REF!=0,"DOĞRU","YANLIŞ")</f>
        <v>#REF!</v>
      </c>
      <c r="BJ148" s="1" t="e">
        <f>#REF!-BH148</f>
        <v>#REF!</v>
      </c>
      <c r="BK148" s="1">
        <v>0</v>
      </c>
      <c r="BM148" s="1">
        <v>1</v>
      </c>
      <c r="BO148" s="1">
        <v>0</v>
      </c>
      <c r="BT148" s="8">
        <f t="shared" si="107"/>
        <v>0</v>
      </c>
      <c r="BU148" s="9"/>
      <c r="BV148" s="10"/>
      <c r="BW148" s="11"/>
      <c r="BX148" s="11"/>
      <c r="BY148" s="11"/>
      <c r="BZ148" s="11"/>
      <c r="CA148" s="11"/>
      <c r="CB148" s="12"/>
      <c r="CC148" s="13"/>
      <c r="CD148" s="14"/>
      <c r="CL148" s="11"/>
      <c r="CM148" s="11"/>
      <c r="CN148" s="11"/>
      <c r="CO148" s="11"/>
      <c r="CP148" s="11"/>
      <c r="CQ148" s="46"/>
      <c r="CR148" s="46"/>
      <c r="CS148" s="48"/>
      <c r="CT148" s="48"/>
      <c r="CU148" s="48"/>
      <c r="CV148" s="48"/>
      <c r="CW148" s="49"/>
      <c r="CX148" s="49"/>
    </row>
    <row r="149" spans="1:102" hidden="1" x14ac:dyDescent="0.25">
      <c r="A149" s="1" t="s">
        <v>357</v>
      </c>
      <c r="B149" s="1" t="s">
        <v>358</v>
      </c>
      <c r="C149" s="1" t="s">
        <v>358</v>
      </c>
      <c r="D149" s="2" t="s">
        <v>63</v>
      </c>
      <c r="E149" s="2" t="s">
        <v>63</v>
      </c>
      <c r="F149" s="3" t="e">
        <f>IF(BE149="S",
IF(#REF!+BM149=2018,
IF(#REF!=1,"18-19/1",
IF(#REF!=2,"18-19/2",
IF(#REF!=3,"19-20/1",
IF(#REF!=4,"19-20/2",
IF(#REF!=5,"20-21/1",
IF(#REF!=6,"20-21/2",
IF(#REF!=7,"21-22/1",
IF(#REF!=8,"21-22/2","Hata1")))))))),
IF(#REF!+BM149=2019,
IF(#REF!=1,"19-20/1",
IF(#REF!=2,"19-20/2",
IF(#REF!=3,"20-21/1",
IF(#REF!=4,"20-21/2",
IF(#REF!=5,"21-22/1",
IF(#REF!=6,"21-22/2",
IF(#REF!=7,"22-23/1",
IF(#REF!=8,"22-23/2","Hata2")))))))),
IF(#REF!+BM149=2020,
IF(#REF!=1,"20-21/1",
IF(#REF!=2,"20-21/2",
IF(#REF!=3,"21-22/1",
IF(#REF!=4,"21-22/2",
IF(#REF!=5,"22-23/1",
IF(#REF!=6,"22-23/2",
IF(#REF!=7,"23-24/1",
IF(#REF!=8,"23-24/2","Hata3")))))))),
IF(#REF!+BM149=2021,
IF(#REF!=1,"21-22/1",
IF(#REF!=2,"21-22/2",
IF(#REF!=3,"22-23/1",
IF(#REF!=4,"22-23/2",
IF(#REF!=5,"23-24/1",
IF(#REF!=6,"23-24/2",
IF(#REF!=7,"24-25/1",
IF(#REF!=8,"24-25/2","Hata4")))))))),
IF(#REF!+BM149=2022,
IF(#REF!=1,"22-23/1",
IF(#REF!=2,"22-23/2",
IF(#REF!=3,"23-24/1",
IF(#REF!=4,"23-24/2",
IF(#REF!=5,"24-25/1",
IF(#REF!=6,"24-25/2",
IF(#REF!=7,"25-26/1",
IF(#REF!=8,"25-26/2","Hata5")))))))),
IF(#REF!+BM149=2023,
IF(#REF!=1,"23-24/1",
IF(#REF!=2,"23-24/2",
IF(#REF!=3,"24-25/1",
IF(#REF!=4,"24-25/2",
IF(#REF!=5,"25-26/1",
IF(#REF!=6,"25-26/2",
IF(#REF!=7,"26-27/1",
IF(#REF!=8,"26-27/2","Hata6")))))))),
)))))),
IF(BE149="T",
IF(#REF!+BM149=2018,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IF(#REF!+BM149=2019,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IF(#REF!+BM149=2020,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IF(#REF!+BM149=2021,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IF(#REF!+BM149=2022,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IF(#REF!+BM149=2023,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49" s="1" t="s">
        <v>216</v>
      </c>
      <c r="J149" s="1">
        <v>4234788</v>
      </c>
      <c r="L149" s="2">
        <v>4366</v>
      </c>
      <c r="N149" s="2">
        <v>1</v>
      </c>
      <c r="O149" s="6">
        <f t="shared" si="81"/>
        <v>1</v>
      </c>
      <c r="P149" s="2">
        <f t="shared" si="82"/>
        <v>1</v>
      </c>
      <c r="Q149" s="2">
        <v>1</v>
      </c>
      <c r="R149" s="2">
        <v>0</v>
      </c>
      <c r="S149" s="2">
        <v>0</v>
      </c>
      <c r="X149" s="3">
        <v>0</v>
      </c>
      <c r="Y149" s="1">
        <f>VLOOKUP(X149,[4]ölçme_sistemleri!I:L,2,FALSE)</f>
        <v>0</v>
      </c>
      <c r="Z149" s="1">
        <f>VLOOKUP(X149,[4]ölçme_sistemleri!I:L,3,FALSE)</f>
        <v>0</v>
      </c>
      <c r="AA149" s="1">
        <f>VLOOKUP(X149,[4]ölçme_sistemleri!I:L,4,FALSE)</f>
        <v>0</v>
      </c>
      <c r="AB149" s="1">
        <f>$O149*[4]ölçme_sistemleri!J$13</f>
        <v>1</v>
      </c>
      <c r="AC149" s="1">
        <f>$O149*[4]ölçme_sistemleri!K$13</f>
        <v>2</v>
      </c>
      <c r="AD149" s="1">
        <f>$O149*[4]ölçme_sistemleri!L$13</f>
        <v>3</v>
      </c>
      <c r="AE149" s="1">
        <f t="shared" si="83"/>
        <v>0</v>
      </c>
      <c r="AF149" s="1">
        <f t="shared" si="84"/>
        <v>0</v>
      </c>
      <c r="AG149" s="1">
        <f t="shared" si="85"/>
        <v>0</v>
      </c>
      <c r="AH149" s="1">
        <f t="shared" si="86"/>
        <v>0</v>
      </c>
      <c r="AI149" s="1">
        <v>14</v>
      </c>
      <c r="AJ149" s="1">
        <f>VLOOKUP(X149,[4]ölçme_sistemleri!I:M,5,FALSE)</f>
        <v>0</v>
      </c>
      <c r="AK149" s="1">
        <f t="shared" si="87"/>
        <v>0</v>
      </c>
      <c r="AL149" s="1">
        <f t="shared" si="108"/>
        <v>14</v>
      </c>
      <c r="AM149" s="1">
        <f>VLOOKUP(X149,[4]ölçme_sistemleri!I:N,6,FALSE)</f>
        <v>0</v>
      </c>
      <c r="AN149" s="1">
        <v>2</v>
      </c>
      <c r="AO149" s="1">
        <f t="shared" si="88"/>
        <v>0</v>
      </c>
      <c r="AP149" s="1">
        <v>14</v>
      </c>
      <c r="AQ149" s="1">
        <f t="shared" si="105"/>
        <v>14</v>
      </c>
      <c r="AR149" s="1">
        <f t="shared" si="89"/>
        <v>28</v>
      </c>
      <c r="AS149" s="1">
        <f>IF(BE149="s",25,25)</f>
        <v>25</v>
      </c>
      <c r="AT149" s="1">
        <f t="shared" si="90"/>
        <v>1</v>
      </c>
      <c r="AU149" s="1">
        <f t="shared" si="106"/>
        <v>0</v>
      </c>
      <c r="AV149" s="1">
        <f t="shared" si="96"/>
        <v>0</v>
      </c>
      <c r="AW149" s="1">
        <f t="shared" si="97"/>
        <v>0</v>
      </c>
      <c r="AX149" s="1">
        <f t="shared" si="98"/>
        <v>0</v>
      </c>
      <c r="AY149" s="1">
        <f t="shared" si="91"/>
        <v>-3</v>
      </c>
      <c r="AZ149" s="1">
        <f t="shared" si="99"/>
        <v>0</v>
      </c>
      <c r="BA149" s="1">
        <f t="shared" si="92"/>
        <v>-14</v>
      </c>
      <c r="BB149" s="1">
        <f t="shared" si="100"/>
        <v>0</v>
      </c>
      <c r="BC149" s="1">
        <f t="shared" si="93"/>
        <v>0</v>
      </c>
      <c r="BD149" s="1">
        <f t="shared" si="94"/>
        <v>0</v>
      </c>
      <c r="BE149" s="1" t="s">
        <v>65</v>
      </c>
      <c r="BF149" s="1">
        <f t="shared" si="101"/>
        <v>14</v>
      </c>
      <c r="BG149" s="1">
        <f t="shared" si="102"/>
        <v>14</v>
      </c>
      <c r="BH149" s="1">
        <f t="shared" si="95"/>
        <v>0</v>
      </c>
      <c r="BI149" s="1" t="e">
        <f>IF(BH149-#REF!=0,"DOĞRU","YANLIŞ")</f>
        <v>#REF!</v>
      </c>
      <c r="BJ149" s="1" t="e">
        <f>#REF!-BH149</f>
        <v>#REF!</v>
      </c>
      <c r="BK149" s="1">
        <v>0</v>
      </c>
      <c r="BM149" s="1">
        <v>1</v>
      </c>
      <c r="BO149" s="1">
        <v>0</v>
      </c>
      <c r="BT149" s="8">
        <f t="shared" si="107"/>
        <v>0</v>
      </c>
      <c r="BU149" s="9"/>
      <c r="BV149" s="10"/>
      <c r="BW149" s="11"/>
      <c r="BX149" s="11"/>
      <c r="BY149" s="11"/>
      <c r="BZ149" s="11"/>
      <c r="CA149" s="11"/>
      <c r="CB149" s="12"/>
      <c r="CC149" s="13"/>
      <c r="CD149" s="14"/>
      <c r="CL149" s="11"/>
      <c r="CM149" s="11"/>
      <c r="CN149" s="11"/>
      <c r="CO149" s="11"/>
      <c r="CP149" s="11"/>
      <c r="CQ149" s="54"/>
      <c r="CR149" s="46"/>
      <c r="CS149" s="54"/>
      <c r="CT149" s="48"/>
      <c r="CU149" s="48"/>
      <c r="CV149" s="48"/>
      <c r="CW149" s="49"/>
      <c r="CX149" s="49"/>
    </row>
    <row r="150" spans="1:102" hidden="1" x14ac:dyDescent="0.25">
      <c r="A150" s="1" t="s">
        <v>357</v>
      </c>
      <c r="B150" s="1" t="s">
        <v>358</v>
      </c>
      <c r="C150" s="1" t="s">
        <v>358</v>
      </c>
      <c r="D150" s="2" t="s">
        <v>63</v>
      </c>
      <c r="E150" s="2" t="s">
        <v>63</v>
      </c>
      <c r="F150" s="3" t="e">
        <f>IF(BE150="S",
IF(#REF!+BM150=2018,
IF(#REF!=1,"18-19/1",
IF(#REF!=2,"18-19/2",
IF(#REF!=3,"19-20/1",
IF(#REF!=4,"19-20/2",
IF(#REF!=5,"20-21/1",
IF(#REF!=6,"20-21/2",
IF(#REF!=7,"21-22/1",
IF(#REF!=8,"21-22/2","Hata1")))))))),
IF(#REF!+BM150=2019,
IF(#REF!=1,"19-20/1",
IF(#REF!=2,"19-20/2",
IF(#REF!=3,"20-21/1",
IF(#REF!=4,"20-21/2",
IF(#REF!=5,"21-22/1",
IF(#REF!=6,"21-22/2",
IF(#REF!=7,"22-23/1",
IF(#REF!=8,"22-23/2","Hata2")))))))),
IF(#REF!+BM150=2020,
IF(#REF!=1,"20-21/1",
IF(#REF!=2,"20-21/2",
IF(#REF!=3,"21-22/1",
IF(#REF!=4,"21-22/2",
IF(#REF!=5,"22-23/1",
IF(#REF!=6,"22-23/2",
IF(#REF!=7,"23-24/1",
IF(#REF!=8,"23-24/2","Hata3")))))))),
IF(#REF!+BM150=2021,
IF(#REF!=1,"21-22/1",
IF(#REF!=2,"21-22/2",
IF(#REF!=3,"22-23/1",
IF(#REF!=4,"22-23/2",
IF(#REF!=5,"23-24/1",
IF(#REF!=6,"23-24/2",
IF(#REF!=7,"24-25/1",
IF(#REF!=8,"24-25/2","Hata4")))))))),
IF(#REF!+BM150=2022,
IF(#REF!=1,"22-23/1",
IF(#REF!=2,"22-23/2",
IF(#REF!=3,"23-24/1",
IF(#REF!=4,"23-24/2",
IF(#REF!=5,"24-25/1",
IF(#REF!=6,"24-25/2",
IF(#REF!=7,"25-26/1",
IF(#REF!=8,"25-26/2","Hata5")))))))),
IF(#REF!+BM150=2023,
IF(#REF!=1,"23-24/1",
IF(#REF!=2,"23-24/2",
IF(#REF!=3,"24-25/1",
IF(#REF!=4,"24-25/2",
IF(#REF!=5,"25-26/1",
IF(#REF!=6,"25-26/2",
IF(#REF!=7,"26-27/1",
IF(#REF!=8,"26-27/2","Hata6")))))))),
)))))),
IF(BE150="T",
IF(#REF!+BM150=2018,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0" s="1" t="s">
        <v>75</v>
      </c>
      <c r="J150" s="1">
        <v>4234776</v>
      </c>
      <c r="L150" s="2">
        <v>4366</v>
      </c>
      <c r="N150" s="2">
        <v>1</v>
      </c>
      <c r="O150" s="6">
        <f t="shared" si="81"/>
        <v>1</v>
      </c>
      <c r="P150" s="2">
        <f t="shared" si="82"/>
        <v>1</v>
      </c>
      <c r="Q150" s="2">
        <v>1</v>
      </c>
      <c r="R150" s="2">
        <v>0</v>
      </c>
      <c r="S150" s="2">
        <v>0</v>
      </c>
      <c r="X150" s="33">
        <v>0</v>
      </c>
      <c r="Y150" s="1">
        <f>VLOOKUP(X150,[4]ölçme_sistemleri!I:L,2,FALSE)</f>
        <v>0</v>
      </c>
      <c r="Z150" s="1">
        <f>VLOOKUP(X150,[4]ölçme_sistemleri!I:L,3,FALSE)</f>
        <v>0</v>
      </c>
      <c r="AA150" s="1">
        <f>VLOOKUP(X150,[4]ölçme_sistemleri!I:L,4,FALSE)</f>
        <v>0</v>
      </c>
      <c r="AB150" s="1">
        <f>$O150*[4]ölçme_sistemleri!J$13</f>
        <v>1</v>
      </c>
      <c r="AC150" s="1">
        <f>$O150*[4]ölçme_sistemleri!K$13</f>
        <v>2</v>
      </c>
      <c r="AD150" s="1">
        <f>$O150*[4]ölçme_sistemleri!L$13</f>
        <v>3</v>
      </c>
      <c r="AE150" s="1">
        <f t="shared" si="83"/>
        <v>0</v>
      </c>
      <c r="AF150" s="1">
        <f t="shared" si="84"/>
        <v>0</v>
      </c>
      <c r="AG150" s="1">
        <f t="shared" si="85"/>
        <v>0</v>
      </c>
      <c r="AH150" s="1">
        <f t="shared" si="86"/>
        <v>0</v>
      </c>
      <c r="AI150" s="1">
        <v>14</v>
      </c>
      <c r="AJ150" s="1">
        <f>VLOOKUP(X150,[4]ölçme_sistemleri!I:M,5,FALSE)</f>
        <v>0</v>
      </c>
      <c r="AK150" s="1">
        <f t="shared" si="87"/>
        <v>0</v>
      </c>
      <c r="AL150" s="1">
        <f t="shared" si="108"/>
        <v>14</v>
      </c>
      <c r="AM150" s="1">
        <f>VLOOKUP(X150,[4]ölçme_sistemleri!I:N,6,FALSE)</f>
        <v>0</v>
      </c>
      <c r="AN150" s="1">
        <v>2</v>
      </c>
      <c r="AO150" s="1">
        <f t="shared" si="88"/>
        <v>0</v>
      </c>
      <c r="AP150" s="1">
        <v>14</v>
      </c>
      <c r="AQ150" s="1">
        <f t="shared" si="105"/>
        <v>14</v>
      </c>
      <c r="AR150" s="1">
        <f t="shared" si="89"/>
        <v>28</v>
      </c>
      <c r="AS150" s="1">
        <f>IF(BE150="s",25,25)</f>
        <v>25</v>
      </c>
      <c r="AT150" s="1">
        <f t="shared" si="90"/>
        <v>1</v>
      </c>
      <c r="AU150" s="1">
        <f t="shared" si="106"/>
        <v>0</v>
      </c>
      <c r="AV150" s="1">
        <f t="shared" si="96"/>
        <v>0</v>
      </c>
      <c r="AW150" s="1">
        <f t="shared" si="97"/>
        <v>0</v>
      </c>
      <c r="AX150" s="1">
        <f t="shared" si="98"/>
        <v>0</v>
      </c>
      <c r="AY150" s="1">
        <f t="shared" si="91"/>
        <v>-3</v>
      </c>
      <c r="AZ150" s="1">
        <f t="shared" si="99"/>
        <v>0</v>
      </c>
      <c r="BA150" s="1">
        <f t="shared" si="92"/>
        <v>-14</v>
      </c>
      <c r="BB150" s="1">
        <f t="shared" si="100"/>
        <v>0</v>
      </c>
      <c r="BC150" s="1">
        <f t="shared" si="93"/>
        <v>0</v>
      </c>
      <c r="BD150" s="1">
        <f t="shared" si="94"/>
        <v>0</v>
      </c>
      <c r="BE150" s="1" t="s">
        <v>65</v>
      </c>
      <c r="BF150" s="1">
        <f t="shared" si="101"/>
        <v>14</v>
      </c>
      <c r="BG150" s="1">
        <f t="shared" si="102"/>
        <v>14</v>
      </c>
      <c r="BH150" s="1">
        <f t="shared" si="95"/>
        <v>0</v>
      </c>
      <c r="BI150" s="1" t="e">
        <f>IF(BH150-#REF!=0,"DOĞRU","YANLIŞ")</f>
        <v>#REF!</v>
      </c>
      <c r="BJ150" s="1" t="e">
        <f>#REF!-BH150</f>
        <v>#REF!</v>
      </c>
      <c r="BK150" s="1">
        <v>0</v>
      </c>
      <c r="BM150" s="1">
        <v>1</v>
      </c>
      <c r="BO150" s="1">
        <v>0</v>
      </c>
      <c r="BT150" s="8">
        <f t="shared" si="107"/>
        <v>0</v>
      </c>
      <c r="BU150" s="9"/>
      <c r="BV150" s="10"/>
      <c r="BW150" s="11"/>
      <c r="BX150" s="11"/>
      <c r="BY150" s="11"/>
      <c r="BZ150" s="11"/>
      <c r="CA150" s="11"/>
      <c r="CB150" s="12"/>
      <c r="CC150" s="13"/>
      <c r="CD150" s="14"/>
      <c r="CL150" s="11"/>
      <c r="CM150" s="11"/>
      <c r="CN150" s="11"/>
      <c r="CO150" s="11"/>
      <c r="CP150" s="11"/>
      <c r="CQ150" s="54"/>
      <c r="CR150" s="46"/>
      <c r="CS150" s="54"/>
      <c r="CT150" s="48"/>
      <c r="CU150" s="48"/>
      <c r="CV150" s="48"/>
      <c r="CW150" s="49"/>
      <c r="CX150" s="49"/>
    </row>
    <row r="151" spans="1:102" hidden="1" x14ac:dyDescent="0.25">
      <c r="A151" s="1" t="s">
        <v>357</v>
      </c>
      <c r="B151" s="1" t="s">
        <v>358</v>
      </c>
      <c r="C151" s="1" t="s">
        <v>358</v>
      </c>
      <c r="D151" s="2" t="s">
        <v>63</v>
      </c>
      <c r="E151" s="2" t="s">
        <v>63</v>
      </c>
      <c r="F151" s="3" t="e">
        <f>IF(BE151="S",
IF(#REF!+BM151=2018,
IF(#REF!=1,"18-19/1",
IF(#REF!=2,"18-19/2",
IF(#REF!=3,"19-20/1",
IF(#REF!=4,"19-20/2",
IF(#REF!=5,"20-21/1",
IF(#REF!=6,"20-21/2",
IF(#REF!=7,"21-22/1",
IF(#REF!=8,"21-22/2","Hata1")))))))),
IF(#REF!+BM151=2019,
IF(#REF!=1,"19-20/1",
IF(#REF!=2,"19-20/2",
IF(#REF!=3,"20-21/1",
IF(#REF!=4,"20-21/2",
IF(#REF!=5,"21-22/1",
IF(#REF!=6,"21-22/2",
IF(#REF!=7,"22-23/1",
IF(#REF!=8,"22-23/2","Hata2")))))))),
IF(#REF!+BM151=2020,
IF(#REF!=1,"20-21/1",
IF(#REF!=2,"20-21/2",
IF(#REF!=3,"21-22/1",
IF(#REF!=4,"21-22/2",
IF(#REF!=5,"22-23/1",
IF(#REF!=6,"22-23/2",
IF(#REF!=7,"23-24/1",
IF(#REF!=8,"23-24/2","Hata3")))))))),
IF(#REF!+BM151=2021,
IF(#REF!=1,"21-22/1",
IF(#REF!=2,"21-22/2",
IF(#REF!=3,"22-23/1",
IF(#REF!=4,"22-23/2",
IF(#REF!=5,"23-24/1",
IF(#REF!=6,"23-24/2",
IF(#REF!=7,"24-25/1",
IF(#REF!=8,"24-25/2","Hata4")))))))),
IF(#REF!+BM151=2022,
IF(#REF!=1,"22-23/1",
IF(#REF!=2,"22-23/2",
IF(#REF!=3,"23-24/1",
IF(#REF!=4,"23-24/2",
IF(#REF!=5,"24-25/1",
IF(#REF!=6,"24-25/2",
IF(#REF!=7,"25-26/1",
IF(#REF!=8,"25-26/2","Hata5")))))))),
IF(#REF!+BM151=2023,
IF(#REF!=1,"23-24/1",
IF(#REF!=2,"23-24/2",
IF(#REF!=3,"24-25/1",
IF(#REF!=4,"24-25/2",
IF(#REF!=5,"25-26/1",
IF(#REF!=6,"25-26/2",
IF(#REF!=7,"26-27/1",
IF(#REF!=8,"26-27/2","Hata6")))))))),
)))))),
IF(BE151="T",
IF(#REF!+BM151=2018,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1" s="1" t="s">
        <v>75</v>
      </c>
      <c r="J151" s="1">
        <v>4234776</v>
      </c>
      <c r="L151" s="2">
        <v>4366</v>
      </c>
      <c r="N151" s="2">
        <v>1</v>
      </c>
      <c r="O151" s="6">
        <f t="shared" si="81"/>
        <v>1</v>
      </c>
      <c r="P151" s="2">
        <f t="shared" si="82"/>
        <v>1</v>
      </c>
      <c r="Q151" s="2">
        <v>1</v>
      </c>
      <c r="R151" s="2">
        <v>0</v>
      </c>
      <c r="S151" s="2">
        <v>0</v>
      </c>
      <c r="X151" s="33">
        <v>0</v>
      </c>
      <c r="Y151" s="1">
        <f>VLOOKUP(X151,[4]ölçme_sistemleri!I:L,2,FALSE)</f>
        <v>0</v>
      </c>
      <c r="Z151" s="1">
        <f>VLOOKUP(X151,[4]ölçme_sistemleri!I:L,3,FALSE)</f>
        <v>0</v>
      </c>
      <c r="AA151" s="1">
        <f>VLOOKUP(X151,[4]ölçme_sistemleri!I:L,4,FALSE)</f>
        <v>0</v>
      </c>
      <c r="AB151" s="1">
        <f>$O151*[4]ölçme_sistemleri!J$13</f>
        <v>1</v>
      </c>
      <c r="AC151" s="1">
        <f>$O151*[4]ölçme_sistemleri!K$13</f>
        <v>2</v>
      </c>
      <c r="AD151" s="1">
        <f>$O151*[4]ölçme_sistemleri!L$13</f>
        <v>3</v>
      </c>
      <c r="AE151" s="1">
        <f t="shared" si="83"/>
        <v>0</v>
      </c>
      <c r="AF151" s="1">
        <f t="shared" si="84"/>
        <v>0</v>
      </c>
      <c r="AG151" s="1">
        <f t="shared" si="85"/>
        <v>0</v>
      </c>
      <c r="AH151" s="1">
        <f t="shared" si="86"/>
        <v>0</v>
      </c>
      <c r="AI151" s="1">
        <v>14</v>
      </c>
      <c r="AJ151" s="1">
        <f>VLOOKUP(X151,[4]ölçme_sistemleri!I:M,5,FALSE)</f>
        <v>0</v>
      </c>
      <c r="AK151" s="1">
        <f t="shared" si="87"/>
        <v>0</v>
      </c>
      <c r="AL151" s="1">
        <f t="shared" si="108"/>
        <v>14</v>
      </c>
      <c r="AM151" s="1">
        <f>VLOOKUP(X151,[4]ölçme_sistemleri!I:N,6,FALSE)</f>
        <v>0</v>
      </c>
      <c r="AN151" s="1">
        <v>2</v>
      </c>
      <c r="AO151" s="1">
        <f t="shared" si="88"/>
        <v>0</v>
      </c>
      <c r="AP151" s="1">
        <v>14</v>
      </c>
      <c r="AQ151" s="1">
        <f t="shared" si="105"/>
        <v>14</v>
      </c>
      <c r="AR151" s="1">
        <f t="shared" si="89"/>
        <v>28</v>
      </c>
      <c r="AS151" s="1">
        <f>IF(BE151="s",25,25)</f>
        <v>25</v>
      </c>
      <c r="AT151" s="1">
        <f t="shared" si="90"/>
        <v>1</v>
      </c>
      <c r="AU151" s="1">
        <f t="shared" si="106"/>
        <v>0</v>
      </c>
      <c r="AV151" s="1">
        <f t="shared" si="96"/>
        <v>0</v>
      </c>
      <c r="AW151" s="1">
        <f t="shared" si="97"/>
        <v>0</v>
      </c>
      <c r="AX151" s="1">
        <f t="shared" si="98"/>
        <v>0</v>
      </c>
      <c r="AY151" s="1">
        <f t="shared" si="91"/>
        <v>-3</v>
      </c>
      <c r="AZ151" s="1">
        <f t="shared" si="99"/>
        <v>0</v>
      </c>
      <c r="BA151" s="1">
        <f t="shared" si="92"/>
        <v>-14</v>
      </c>
      <c r="BB151" s="1">
        <f t="shared" si="100"/>
        <v>0</v>
      </c>
      <c r="BC151" s="1">
        <f t="shared" si="93"/>
        <v>0</v>
      </c>
      <c r="BD151" s="1">
        <f t="shared" si="94"/>
        <v>0</v>
      </c>
      <c r="BE151" s="1" t="s">
        <v>65</v>
      </c>
      <c r="BF151" s="1">
        <f t="shared" si="101"/>
        <v>14</v>
      </c>
      <c r="BG151" s="1">
        <f t="shared" si="102"/>
        <v>14</v>
      </c>
      <c r="BH151" s="1">
        <f t="shared" si="95"/>
        <v>0</v>
      </c>
      <c r="BI151" s="1" t="e">
        <f>IF(BH151-#REF!=0,"DOĞRU","YANLIŞ")</f>
        <v>#REF!</v>
      </c>
      <c r="BJ151" s="1" t="e">
        <f>#REF!-BH151</f>
        <v>#REF!</v>
      </c>
      <c r="BK151" s="1">
        <v>0</v>
      </c>
      <c r="BM151" s="1">
        <v>1</v>
      </c>
      <c r="BO151" s="1">
        <v>0</v>
      </c>
      <c r="BT151" s="8">
        <f t="shared" si="107"/>
        <v>0</v>
      </c>
      <c r="BU151" s="9"/>
      <c r="BV151" s="10"/>
      <c r="BW151" s="11"/>
      <c r="BX151" s="11"/>
      <c r="BY151" s="11"/>
      <c r="BZ151" s="11"/>
      <c r="CA151" s="11"/>
      <c r="CB151" s="12"/>
      <c r="CC151" s="13"/>
      <c r="CD151" s="14"/>
      <c r="CL151" s="11"/>
      <c r="CM151" s="11"/>
      <c r="CN151" s="11"/>
      <c r="CO151" s="11"/>
      <c r="CP151" s="11"/>
      <c r="CQ151" s="54"/>
      <c r="CR151" s="46"/>
      <c r="CS151" s="48"/>
      <c r="CT151" s="48"/>
      <c r="CU151" s="48"/>
      <c r="CV151" s="48"/>
      <c r="CW151" s="49"/>
      <c r="CX151" s="49"/>
    </row>
    <row r="152" spans="1:102" hidden="1" x14ac:dyDescent="0.25">
      <c r="A152" s="1" t="s">
        <v>357</v>
      </c>
      <c r="B152" s="1" t="s">
        <v>358</v>
      </c>
      <c r="C152" s="1" t="s">
        <v>358</v>
      </c>
      <c r="D152" s="2" t="s">
        <v>63</v>
      </c>
      <c r="E152" s="2" t="s">
        <v>63</v>
      </c>
      <c r="F152" s="3" t="e">
        <f>IF(BE152="S",
IF(#REF!+BM152=2018,
IF(#REF!=1,"18-19/1",
IF(#REF!=2,"18-19/2",
IF(#REF!=3,"19-20/1",
IF(#REF!=4,"19-20/2",
IF(#REF!=5,"20-21/1",
IF(#REF!=6,"20-21/2",
IF(#REF!=7,"21-22/1",
IF(#REF!=8,"21-22/2","Hata1")))))))),
IF(#REF!+BM152=2019,
IF(#REF!=1,"19-20/1",
IF(#REF!=2,"19-20/2",
IF(#REF!=3,"20-21/1",
IF(#REF!=4,"20-21/2",
IF(#REF!=5,"21-22/1",
IF(#REF!=6,"21-22/2",
IF(#REF!=7,"22-23/1",
IF(#REF!=8,"22-23/2","Hata2")))))))),
IF(#REF!+BM152=2020,
IF(#REF!=1,"20-21/1",
IF(#REF!=2,"20-21/2",
IF(#REF!=3,"21-22/1",
IF(#REF!=4,"21-22/2",
IF(#REF!=5,"22-23/1",
IF(#REF!=6,"22-23/2",
IF(#REF!=7,"23-24/1",
IF(#REF!=8,"23-24/2","Hata3")))))))),
IF(#REF!+BM152=2021,
IF(#REF!=1,"21-22/1",
IF(#REF!=2,"21-22/2",
IF(#REF!=3,"22-23/1",
IF(#REF!=4,"22-23/2",
IF(#REF!=5,"23-24/1",
IF(#REF!=6,"23-24/2",
IF(#REF!=7,"24-25/1",
IF(#REF!=8,"24-25/2","Hata4")))))))),
IF(#REF!+BM152=2022,
IF(#REF!=1,"22-23/1",
IF(#REF!=2,"22-23/2",
IF(#REF!=3,"23-24/1",
IF(#REF!=4,"23-24/2",
IF(#REF!=5,"24-25/1",
IF(#REF!=6,"24-25/2",
IF(#REF!=7,"25-26/1",
IF(#REF!=8,"25-26/2","Hata5")))))))),
IF(#REF!+BM152=2023,
IF(#REF!=1,"23-24/1",
IF(#REF!=2,"23-24/2",
IF(#REF!=3,"24-25/1",
IF(#REF!=4,"24-25/2",
IF(#REF!=5,"25-26/1",
IF(#REF!=6,"25-26/2",
IF(#REF!=7,"26-27/1",
IF(#REF!=8,"26-27/2","Hata6")))))))),
)))))),
IF(BE152="T",
IF(#REF!+BM152=2018,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2" s="1" t="s">
        <v>216</v>
      </c>
      <c r="J152" s="1">
        <v>4234788</v>
      </c>
      <c r="L152" s="2">
        <v>4366</v>
      </c>
      <c r="N152" s="2">
        <v>1</v>
      </c>
      <c r="O152" s="6">
        <f t="shared" si="81"/>
        <v>1</v>
      </c>
      <c r="P152" s="2">
        <f t="shared" si="82"/>
        <v>1</v>
      </c>
      <c r="Q152" s="2">
        <v>1</v>
      </c>
      <c r="R152" s="2">
        <v>0</v>
      </c>
      <c r="S152" s="2">
        <v>0</v>
      </c>
      <c r="X152" s="3">
        <v>0</v>
      </c>
      <c r="Y152" s="1">
        <f>VLOOKUP(X152,[4]ölçme_sistemleri!I:L,2,FALSE)</f>
        <v>0</v>
      </c>
      <c r="Z152" s="1">
        <f>VLOOKUP(X152,[4]ölçme_sistemleri!I:L,3,FALSE)</f>
        <v>0</v>
      </c>
      <c r="AA152" s="1">
        <f>VLOOKUP(X152,[4]ölçme_sistemleri!I:L,4,FALSE)</f>
        <v>0</v>
      </c>
      <c r="AB152" s="1">
        <f>$O152*[4]ölçme_sistemleri!J$13</f>
        <v>1</v>
      </c>
      <c r="AC152" s="1">
        <f>$O152*[4]ölçme_sistemleri!K$13</f>
        <v>2</v>
      </c>
      <c r="AD152" s="1">
        <f>$O152*[4]ölçme_sistemleri!L$13</f>
        <v>3</v>
      </c>
      <c r="AE152" s="1">
        <f t="shared" si="83"/>
        <v>0</v>
      </c>
      <c r="AF152" s="1">
        <f t="shared" si="84"/>
        <v>0</v>
      </c>
      <c r="AG152" s="1">
        <f t="shared" si="85"/>
        <v>0</v>
      </c>
      <c r="AH152" s="1">
        <f t="shared" si="86"/>
        <v>0</v>
      </c>
      <c r="AI152" s="1">
        <v>14</v>
      </c>
      <c r="AJ152" s="1">
        <f>VLOOKUP(X152,[4]ölçme_sistemleri!I:M,5,FALSE)</f>
        <v>0</v>
      </c>
      <c r="AK152" s="1">
        <f t="shared" si="87"/>
        <v>0</v>
      </c>
      <c r="AL152" s="1">
        <f t="shared" si="108"/>
        <v>14</v>
      </c>
      <c r="AM152" s="1">
        <f>VLOOKUP(X152,[4]ölçme_sistemleri!I:N,6,FALSE)</f>
        <v>0</v>
      </c>
      <c r="AN152" s="1">
        <v>2</v>
      </c>
      <c r="AO152" s="1">
        <f t="shared" si="88"/>
        <v>0</v>
      </c>
      <c r="AP152" s="1">
        <v>14</v>
      </c>
      <c r="AQ152" s="1">
        <f t="shared" si="105"/>
        <v>14</v>
      </c>
      <c r="AR152" s="1">
        <f t="shared" si="89"/>
        <v>28</v>
      </c>
      <c r="AS152" s="1">
        <f>IF(BE152="s",25,25)</f>
        <v>25</v>
      </c>
      <c r="AT152" s="1">
        <f t="shared" si="90"/>
        <v>1</v>
      </c>
      <c r="AU152" s="1">
        <f t="shared" si="106"/>
        <v>0</v>
      </c>
      <c r="AV152" s="1">
        <f t="shared" si="96"/>
        <v>0</v>
      </c>
      <c r="AW152" s="1">
        <f t="shared" si="97"/>
        <v>0</v>
      </c>
      <c r="AX152" s="1">
        <f t="shared" si="98"/>
        <v>0</v>
      </c>
      <c r="AY152" s="1">
        <f t="shared" si="91"/>
        <v>-3</v>
      </c>
      <c r="AZ152" s="1">
        <f t="shared" si="99"/>
        <v>0</v>
      </c>
      <c r="BA152" s="1">
        <f t="shared" si="92"/>
        <v>-14</v>
      </c>
      <c r="BB152" s="1">
        <f t="shared" si="100"/>
        <v>0</v>
      </c>
      <c r="BC152" s="1">
        <f t="shared" si="93"/>
        <v>0</v>
      </c>
      <c r="BD152" s="1">
        <f t="shared" si="94"/>
        <v>0</v>
      </c>
      <c r="BE152" s="1" t="s">
        <v>65</v>
      </c>
      <c r="BF152" s="1">
        <f t="shared" si="101"/>
        <v>14</v>
      </c>
      <c r="BG152" s="1">
        <f t="shared" si="102"/>
        <v>14</v>
      </c>
      <c r="BH152" s="1">
        <f t="shared" si="95"/>
        <v>0</v>
      </c>
      <c r="BI152" s="1" t="e">
        <f>IF(BH152-#REF!=0,"DOĞRU","YANLIŞ")</f>
        <v>#REF!</v>
      </c>
      <c r="BJ152" s="1" t="e">
        <f>#REF!-BH152</f>
        <v>#REF!</v>
      </c>
      <c r="BK152" s="1">
        <v>0</v>
      </c>
      <c r="BM152" s="1">
        <v>1</v>
      </c>
      <c r="BO152" s="1">
        <v>0</v>
      </c>
      <c r="BT152" s="8">
        <f t="shared" si="107"/>
        <v>0</v>
      </c>
      <c r="BU152" s="9"/>
      <c r="BV152" s="10"/>
      <c r="BW152" s="11"/>
      <c r="BX152" s="11"/>
      <c r="BY152" s="11"/>
      <c r="BZ152" s="11"/>
      <c r="CA152" s="11"/>
      <c r="CB152" s="12"/>
      <c r="CC152" s="13"/>
      <c r="CD152" s="14"/>
      <c r="CL152" s="11"/>
      <c r="CM152" s="11"/>
      <c r="CN152" s="11"/>
      <c r="CO152" s="11"/>
      <c r="CP152" s="11"/>
      <c r="CQ152" s="54"/>
      <c r="CR152" s="55"/>
      <c r="CS152" s="48"/>
      <c r="CT152" s="48"/>
      <c r="CU152" s="48"/>
      <c r="CV152" s="48"/>
      <c r="CW152" s="49"/>
      <c r="CX152" s="49"/>
    </row>
    <row r="153" spans="1:102" hidden="1" x14ac:dyDescent="0.25">
      <c r="A153" s="1" t="s">
        <v>384</v>
      </c>
      <c r="B153" s="1" t="s">
        <v>385</v>
      </c>
      <c r="C153" s="1" t="s">
        <v>385</v>
      </c>
      <c r="D153" s="2" t="s">
        <v>58</v>
      </c>
      <c r="E153" s="2" t="s">
        <v>58</v>
      </c>
      <c r="F153" s="3" t="e">
        <f>IF(BE153="S",
IF(#REF!+BM153=2018,
IF(#REF!=1,"18-19/1",
IF(#REF!=2,"18-19/2",
IF(#REF!=3,"19-20/1",
IF(#REF!=4,"19-20/2",
IF(#REF!=5,"20-21/1",
IF(#REF!=6,"20-21/2",
IF(#REF!=7,"21-22/1",
IF(#REF!=8,"21-22/2","Hata1")))))))),
IF(#REF!+BM153=2019,
IF(#REF!=1,"19-20/1",
IF(#REF!=2,"19-20/2",
IF(#REF!=3,"20-21/1",
IF(#REF!=4,"20-21/2",
IF(#REF!=5,"21-22/1",
IF(#REF!=6,"21-22/2",
IF(#REF!=7,"22-23/1",
IF(#REF!=8,"22-23/2","Hata2")))))))),
IF(#REF!+BM153=2020,
IF(#REF!=1,"20-21/1",
IF(#REF!=2,"20-21/2",
IF(#REF!=3,"21-22/1",
IF(#REF!=4,"21-22/2",
IF(#REF!=5,"22-23/1",
IF(#REF!=6,"22-23/2",
IF(#REF!=7,"23-24/1",
IF(#REF!=8,"23-24/2","Hata3")))))))),
IF(#REF!+BM153=2021,
IF(#REF!=1,"21-22/1",
IF(#REF!=2,"21-22/2",
IF(#REF!=3,"22-23/1",
IF(#REF!=4,"22-23/2",
IF(#REF!=5,"23-24/1",
IF(#REF!=6,"23-24/2",
IF(#REF!=7,"24-25/1",
IF(#REF!=8,"24-25/2","Hata4")))))))),
IF(#REF!+BM153=2022,
IF(#REF!=1,"22-23/1",
IF(#REF!=2,"22-23/2",
IF(#REF!=3,"23-24/1",
IF(#REF!=4,"23-24/2",
IF(#REF!=5,"24-25/1",
IF(#REF!=6,"24-25/2",
IF(#REF!=7,"25-26/1",
IF(#REF!=8,"25-26/2","Hata5")))))))),
IF(#REF!+BM153=2023,
IF(#REF!=1,"23-24/1",
IF(#REF!=2,"23-24/2",
IF(#REF!=3,"24-25/1",
IF(#REF!=4,"24-25/2",
IF(#REF!=5,"25-26/1",
IF(#REF!=6,"25-26/2",
IF(#REF!=7,"26-27/1",
IF(#REF!=8,"26-27/2","Hata6")))))))),
)))))),
IF(BE153="T",
IF(#REF!+BM153=2018,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153" s="3">
        <v>0</v>
      </c>
      <c r="I153" s="1" t="s">
        <v>75</v>
      </c>
      <c r="J153" s="1">
        <v>4234776</v>
      </c>
      <c r="L153" s="2">
        <v>3183</v>
      </c>
      <c r="N153" s="2">
        <v>5</v>
      </c>
      <c r="O153" s="6">
        <f t="shared" si="81"/>
        <v>3</v>
      </c>
      <c r="P153" s="2">
        <f t="shared" si="82"/>
        <v>3</v>
      </c>
      <c r="Q153" s="2">
        <v>0</v>
      </c>
      <c r="R153" s="2">
        <v>0</v>
      </c>
      <c r="S153" s="2">
        <v>3</v>
      </c>
      <c r="X153" s="3">
        <v>3</v>
      </c>
      <c r="Y153" s="1">
        <f>VLOOKUP(X153,[20]ölçme_sistemleri!I:L,2,FALSE)</f>
        <v>2</v>
      </c>
      <c r="Z153" s="1">
        <f>VLOOKUP(X153,[20]ölçme_sistemleri!I:L,3,FALSE)</f>
        <v>1</v>
      </c>
      <c r="AA153" s="1">
        <f>VLOOKUP(X153,[20]ölçme_sistemleri!I:L,4,FALSE)</f>
        <v>1</v>
      </c>
      <c r="AB153" s="1">
        <f>$O153*[20]ölçme_sistemleri!J$13</f>
        <v>3</v>
      </c>
      <c r="AC153" s="1">
        <f>$O153*[20]ölçme_sistemleri!K$13</f>
        <v>6</v>
      </c>
      <c r="AD153" s="1">
        <f>$O153*[20]ölçme_sistemleri!L$13</f>
        <v>9</v>
      </c>
      <c r="AE153" s="1">
        <f t="shared" si="83"/>
        <v>6</v>
      </c>
      <c r="AF153" s="1">
        <f t="shared" si="84"/>
        <v>6</v>
      </c>
      <c r="AG153" s="1">
        <f t="shared" si="85"/>
        <v>9</v>
      </c>
      <c r="AH153" s="1">
        <f t="shared" si="86"/>
        <v>21</v>
      </c>
      <c r="AI153" s="1">
        <v>14</v>
      </c>
      <c r="AJ153" s="1">
        <f>VLOOKUP(X153,[20]ölçme_sistemleri!I:M,5,FALSE)</f>
        <v>3</v>
      </c>
      <c r="AK153" s="1">
        <f t="shared" si="87"/>
        <v>294</v>
      </c>
      <c r="AL153" s="1">
        <f>AI153*4</f>
        <v>56</v>
      </c>
      <c r="AM153" s="1">
        <f>VLOOKUP(X153,[20]ölçme_sistemleri!I:N,6,FALSE)</f>
        <v>4</v>
      </c>
      <c r="AN153" s="1">
        <v>2</v>
      </c>
      <c r="AO153" s="1">
        <f t="shared" si="88"/>
        <v>8</v>
      </c>
      <c r="AP153" s="1">
        <v>14</v>
      </c>
      <c r="AQ153" s="1">
        <f t="shared" si="105"/>
        <v>42</v>
      </c>
      <c r="AR153" s="1">
        <f t="shared" si="89"/>
        <v>127</v>
      </c>
      <c r="AS153" s="1">
        <f t="shared" ref="AS153:AS171" si="109">IF(BE153="s",25,30)</f>
        <v>25</v>
      </c>
      <c r="AT153" s="1">
        <f t="shared" si="90"/>
        <v>5</v>
      </c>
      <c r="AU153" s="1">
        <f t="shared" si="106"/>
        <v>0</v>
      </c>
      <c r="AV153" s="1">
        <f t="shared" si="96"/>
        <v>0</v>
      </c>
      <c r="AW153" s="1">
        <f t="shared" si="97"/>
        <v>0</v>
      </c>
      <c r="AX153" s="1">
        <f t="shared" si="98"/>
        <v>0</v>
      </c>
      <c r="AY153" s="1">
        <f t="shared" si="91"/>
        <v>-21</v>
      </c>
      <c r="AZ153" s="1">
        <f t="shared" si="99"/>
        <v>0</v>
      </c>
      <c r="BA153" s="1">
        <f t="shared" si="92"/>
        <v>-56</v>
      </c>
      <c r="BB153" s="1">
        <f t="shared" si="100"/>
        <v>0</v>
      </c>
      <c r="BC153" s="1">
        <f t="shared" si="93"/>
        <v>-8</v>
      </c>
      <c r="BD153" s="1">
        <f t="shared" si="94"/>
        <v>0</v>
      </c>
      <c r="BE153" s="1" t="s">
        <v>65</v>
      </c>
      <c r="BF153" s="1">
        <f t="shared" si="101"/>
        <v>42</v>
      </c>
      <c r="BG153" s="1">
        <f t="shared" si="102"/>
        <v>42</v>
      </c>
      <c r="BH153" s="1">
        <f t="shared" si="95"/>
        <v>1</v>
      </c>
      <c r="BI153" s="1" t="e">
        <f>IF(BH153-#REF!=0,"DOĞRU","YANLIŞ")</f>
        <v>#REF!</v>
      </c>
      <c r="BJ153" s="1" t="e">
        <f>#REF!-BH153</f>
        <v>#REF!</v>
      </c>
      <c r="BK153" s="1">
        <v>1</v>
      </c>
      <c r="BM153" s="1">
        <v>0</v>
      </c>
      <c r="BO153" s="1">
        <v>2</v>
      </c>
      <c r="BT153" s="8">
        <f t="shared" si="107"/>
        <v>0</v>
      </c>
      <c r="BU153" s="9"/>
      <c r="BV153" s="10"/>
      <c r="BW153" s="11"/>
      <c r="BX153" s="11"/>
      <c r="BY153" s="11"/>
      <c r="BZ153" s="11"/>
      <c r="CA153" s="11"/>
      <c r="CB153" s="12"/>
      <c r="CC153" s="13"/>
      <c r="CD153" s="14"/>
      <c r="CL153" s="11"/>
      <c r="CM153" s="11"/>
      <c r="CN153" s="11"/>
      <c r="CO153" s="11"/>
      <c r="CP153" s="11"/>
      <c r="CQ153" s="49"/>
      <c r="CR153" s="46"/>
      <c r="CS153" s="48"/>
      <c r="CT153" s="48"/>
      <c r="CU153" s="48"/>
      <c r="CV153" s="48"/>
      <c r="CW153" s="49"/>
      <c r="CX153" s="49"/>
    </row>
    <row r="154" spans="1:102" hidden="1" x14ac:dyDescent="0.25">
      <c r="A154" s="1" t="s">
        <v>376</v>
      </c>
      <c r="B154" s="1" t="s">
        <v>377</v>
      </c>
      <c r="C154" s="1" t="s">
        <v>377</v>
      </c>
      <c r="D154" s="2" t="s">
        <v>63</v>
      </c>
      <c r="E154" s="2" t="s">
        <v>63</v>
      </c>
      <c r="F154" s="3" t="e">
        <f>IF(BE154="S",
IF(#REF!+BM154=2018,
IF(#REF!=1,"18-19/1",
IF(#REF!=2,"18-19/2",
IF(#REF!=3,"19-20/1",
IF(#REF!=4,"19-20/2",
IF(#REF!=5,"20-21/1",
IF(#REF!=6,"20-21/2",
IF(#REF!=7,"21-22/1",
IF(#REF!=8,"21-22/2","Hata1")))))))),
IF(#REF!+BM154=2019,
IF(#REF!=1,"19-20/1",
IF(#REF!=2,"19-20/2",
IF(#REF!=3,"20-21/1",
IF(#REF!=4,"20-21/2",
IF(#REF!=5,"21-22/1",
IF(#REF!=6,"21-22/2",
IF(#REF!=7,"22-23/1",
IF(#REF!=8,"22-23/2","Hata2")))))))),
IF(#REF!+BM154=2020,
IF(#REF!=1,"20-21/1",
IF(#REF!=2,"20-21/2",
IF(#REF!=3,"21-22/1",
IF(#REF!=4,"21-22/2",
IF(#REF!=5,"22-23/1",
IF(#REF!=6,"22-23/2",
IF(#REF!=7,"23-24/1",
IF(#REF!=8,"23-24/2","Hata3")))))))),
IF(#REF!+BM154=2021,
IF(#REF!=1,"21-22/1",
IF(#REF!=2,"21-22/2",
IF(#REF!=3,"22-23/1",
IF(#REF!=4,"22-23/2",
IF(#REF!=5,"23-24/1",
IF(#REF!=6,"23-24/2",
IF(#REF!=7,"24-25/1",
IF(#REF!=8,"24-25/2","Hata4")))))))),
IF(#REF!+BM154=2022,
IF(#REF!=1,"22-23/1",
IF(#REF!=2,"22-23/2",
IF(#REF!=3,"23-24/1",
IF(#REF!=4,"23-24/2",
IF(#REF!=5,"24-25/1",
IF(#REF!=6,"24-25/2",
IF(#REF!=7,"25-26/1",
IF(#REF!=8,"25-26/2","Hata5")))))))),
IF(#REF!+BM154=2023,
IF(#REF!=1,"23-24/1",
IF(#REF!=2,"23-24/2",
IF(#REF!=3,"24-25/1",
IF(#REF!=4,"24-25/2",
IF(#REF!=5,"25-26/1",
IF(#REF!=6,"25-26/2",
IF(#REF!=7,"26-27/1",
IF(#REF!=8,"26-27/2","Hata6")))))))),
)))))),
IF(BE154="T",
IF(#REF!+BM154=2018,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4" s="1" t="s">
        <v>75</v>
      </c>
      <c r="J154" s="1">
        <v>4234776</v>
      </c>
      <c r="L154" s="2">
        <v>649</v>
      </c>
      <c r="N154" s="2">
        <v>6</v>
      </c>
      <c r="O154" s="6">
        <f t="shared" si="81"/>
        <v>3</v>
      </c>
      <c r="P154" s="2">
        <f t="shared" si="82"/>
        <v>3</v>
      </c>
      <c r="Q154" s="2">
        <v>3</v>
      </c>
      <c r="R154" s="2">
        <v>0</v>
      </c>
      <c r="S154" s="2">
        <v>0</v>
      </c>
      <c r="X154" s="3">
        <v>2</v>
      </c>
      <c r="Y154" s="1">
        <f>VLOOKUP(X154,[20]ölçme_sistemleri!I:L,2,FALSE)</f>
        <v>0</v>
      </c>
      <c r="Z154" s="1">
        <f>VLOOKUP(X154,[20]ölçme_sistemleri!I:L,3,FALSE)</f>
        <v>2</v>
      </c>
      <c r="AA154" s="1">
        <f>VLOOKUP(X154,[20]ölçme_sistemleri!I:L,4,FALSE)</f>
        <v>1</v>
      </c>
      <c r="AB154" s="1">
        <f>$O154*[20]ölçme_sistemleri!J$13</f>
        <v>3</v>
      </c>
      <c r="AC154" s="1">
        <f>$O154*[20]ölçme_sistemleri!K$13</f>
        <v>6</v>
      </c>
      <c r="AD154" s="1">
        <f>$O154*[20]ölçme_sistemleri!L$13</f>
        <v>9</v>
      </c>
      <c r="AE154" s="1">
        <f t="shared" si="83"/>
        <v>0</v>
      </c>
      <c r="AF154" s="1">
        <f t="shared" si="84"/>
        <v>12</v>
      </c>
      <c r="AG154" s="1">
        <f t="shared" si="85"/>
        <v>9</v>
      </c>
      <c r="AH154" s="1">
        <f t="shared" si="86"/>
        <v>21</v>
      </c>
      <c r="AI154" s="1">
        <v>14</v>
      </c>
      <c r="AJ154" s="1">
        <f>VLOOKUP(X154,[20]ölçme_sistemleri!I:M,5,FALSE)</f>
        <v>2</v>
      </c>
      <c r="AK154" s="1">
        <f t="shared" si="87"/>
        <v>294</v>
      </c>
      <c r="AL154" s="1">
        <f>AI154*5</f>
        <v>70</v>
      </c>
      <c r="AM154" s="1">
        <f>VLOOKUP(X154,[20]ölçme_sistemleri!I:N,6,FALSE)</f>
        <v>3</v>
      </c>
      <c r="AN154" s="1">
        <v>2</v>
      </c>
      <c r="AO154" s="1">
        <f t="shared" si="88"/>
        <v>6</v>
      </c>
      <c r="AP154" s="1">
        <v>14</v>
      </c>
      <c r="AQ154" s="1">
        <f t="shared" si="105"/>
        <v>42</v>
      </c>
      <c r="AR154" s="1">
        <f t="shared" si="89"/>
        <v>139</v>
      </c>
      <c r="AS154" s="1">
        <f t="shared" si="109"/>
        <v>25</v>
      </c>
      <c r="AT154" s="1">
        <f t="shared" si="90"/>
        <v>6</v>
      </c>
      <c r="AU154" s="1">
        <f t="shared" si="106"/>
        <v>0</v>
      </c>
      <c r="AV154" s="1">
        <f t="shared" si="96"/>
        <v>0</v>
      </c>
      <c r="AW154" s="1">
        <f t="shared" si="97"/>
        <v>0</v>
      </c>
      <c r="AX154" s="1">
        <f t="shared" si="98"/>
        <v>0</v>
      </c>
      <c r="AY154" s="1">
        <f t="shared" si="91"/>
        <v>-21</v>
      </c>
      <c r="AZ154" s="1">
        <f t="shared" si="99"/>
        <v>0</v>
      </c>
      <c r="BA154" s="1">
        <f t="shared" si="92"/>
        <v>-70</v>
      </c>
      <c r="BB154" s="1">
        <f t="shared" si="100"/>
        <v>0</v>
      </c>
      <c r="BC154" s="1">
        <f t="shared" si="93"/>
        <v>-6</v>
      </c>
      <c r="BD154" s="1">
        <f t="shared" si="94"/>
        <v>0</v>
      </c>
      <c r="BE154" s="1" t="s">
        <v>65</v>
      </c>
      <c r="BF154" s="1">
        <f t="shared" si="101"/>
        <v>42</v>
      </c>
      <c r="BG154" s="1">
        <f t="shared" si="102"/>
        <v>42</v>
      </c>
      <c r="BH154" s="1">
        <f t="shared" si="95"/>
        <v>1</v>
      </c>
      <c r="BI154" s="1" t="e">
        <f>IF(BH154-#REF!=0,"DOĞRU","YANLIŞ")</f>
        <v>#REF!</v>
      </c>
      <c r="BJ154" s="1" t="e">
        <f>#REF!-BH154</f>
        <v>#REF!</v>
      </c>
      <c r="BK154" s="1">
        <v>1</v>
      </c>
      <c r="BM154" s="1">
        <v>0</v>
      </c>
      <c r="BO154" s="1">
        <v>2</v>
      </c>
      <c r="BT154" s="8">
        <f t="shared" si="107"/>
        <v>0</v>
      </c>
      <c r="BU154" s="9"/>
      <c r="BV154" s="10"/>
      <c r="BW154" s="11"/>
      <c r="BX154" s="11"/>
      <c r="BY154" s="11"/>
      <c r="BZ154" s="11"/>
      <c r="CA154" s="11"/>
      <c r="CB154" s="12"/>
      <c r="CC154" s="13"/>
      <c r="CD154" s="14"/>
      <c r="CL154" s="11"/>
      <c r="CM154" s="11"/>
      <c r="CN154" s="11"/>
      <c r="CO154" s="11"/>
      <c r="CP154" s="11"/>
      <c r="CQ154" s="49"/>
      <c r="CR154" s="46"/>
      <c r="CS154" s="49"/>
      <c r="CT154" s="48"/>
      <c r="CU154" s="49"/>
      <c r="CV154" s="48"/>
      <c r="CW154" s="49"/>
      <c r="CX154" s="49"/>
    </row>
    <row r="155" spans="1:102" hidden="1" x14ac:dyDescent="0.25">
      <c r="A155" s="1" t="s">
        <v>201</v>
      </c>
      <c r="B155" s="1" t="s">
        <v>202</v>
      </c>
      <c r="C155" s="1" t="s">
        <v>202</v>
      </c>
      <c r="D155" s="2" t="s">
        <v>58</v>
      </c>
      <c r="E155" s="2" t="s">
        <v>58</v>
      </c>
      <c r="F155" s="3" t="e">
        <f>IF(BE155="S",
IF(#REF!+BM155=2018,
IF(#REF!=1,"18-19/1",
IF(#REF!=2,"18-19/2",
IF(#REF!=3,"19-20/1",
IF(#REF!=4,"19-20/2",
IF(#REF!=5,"20-21/1",
IF(#REF!=6,"20-21/2",
IF(#REF!=7,"21-22/1",
IF(#REF!=8,"21-22/2","Hata1")))))))),
IF(#REF!+BM155=2019,
IF(#REF!=1,"19-20/1",
IF(#REF!=2,"19-20/2",
IF(#REF!=3,"20-21/1",
IF(#REF!=4,"20-21/2",
IF(#REF!=5,"21-22/1",
IF(#REF!=6,"21-22/2",
IF(#REF!=7,"22-23/1",
IF(#REF!=8,"22-23/2","Hata2")))))))),
IF(#REF!+BM155=2020,
IF(#REF!=1,"20-21/1",
IF(#REF!=2,"20-21/2",
IF(#REF!=3,"21-22/1",
IF(#REF!=4,"21-22/2",
IF(#REF!=5,"22-23/1",
IF(#REF!=6,"22-23/2",
IF(#REF!=7,"23-24/1",
IF(#REF!=8,"23-24/2","Hata3")))))))),
IF(#REF!+BM155=2021,
IF(#REF!=1,"21-22/1",
IF(#REF!=2,"21-22/2",
IF(#REF!=3,"22-23/1",
IF(#REF!=4,"22-23/2",
IF(#REF!=5,"23-24/1",
IF(#REF!=6,"23-24/2",
IF(#REF!=7,"24-25/1",
IF(#REF!=8,"24-25/2","Hata4")))))))),
IF(#REF!+BM155=2022,
IF(#REF!=1,"22-23/1",
IF(#REF!=2,"22-23/2",
IF(#REF!=3,"23-24/1",
IF(#REF!=4,"23-24/2",
IF(#REF!=5,"24-25/1",
IF(#REF!=6,"24-25/2",
IF(#REF!=7,"25-26/1",
IF(#REF!=8,"25-26/2","Hata5")))))))),
IF(#REF!+BM155=2023,
IF(#REF!=1,"23-24/1",
IF(#REF!=2,"23-24/2",
IF(#REF!=3,"24-25/1",
IF(#REF!=4,"24-25/2",
IF(#REF!=5,"25-26/1",
IF(#REF!=6,"25-26/2",
IF(#REF!=7,"26-27/1",
IF(#REF!=8,"26-27/2","Hata6")))))))),
)))))),
IF(BE155="T",
IF(#REF!+BM155=2018,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5" s="1" t="s">
        <v>75</v>
      </c>
      <c r="J155" s="1">
        <v>4234776</v>
      </c>
      <c r="L155" s="2">
        <v>908</v>
      </c>
      <c r="N155" s="2">
        <v>4</v>
      </c>
      <c r="O155" s="6">
        <f t="shared" si="81"/>
        <v>3</v>
      </c>
      <c r="P155" s="2">
        <f t="shared" si="82"/>
        <v>3</v>
      </c>
      <c r="Q155" s="2">
        <v>3</v>
      </c>
      <c r="R155" s="2">
        <v>0</v>
      </c>
      <c r="S155" s="2">
        <v>0</v>
      </c>
      <c r="X155" s="3">
        <v>2</v>
      </c>
      <c r="Y155" s="1">
        <f>VLOOKUP(X155,[20]ölçme_sistemleri!I:L,2,FALSE)</f>
        <v>0</v>
      </c>
      <c r="Z155" s="1">
        <f>VLOOKUP(X155,[20]ölçme_sistemleri!I:L,3,FALSE)</f>
        <v>2</v>
      </c>
      <c r="AA155" s="1">
        <f>VLOOKUP(X155,[20]ölçme_sistemleri!I:L,4,FALSE)</f>
        <v>1</v>
      </c>
      <c r="AB155" s="1">
        <f>$O155*[20]ölçme_sistemleri!J$13</f>
        <v>3</v>
      </c>
      <c r="AC155" s="1">
        <f>$O155*[20]ölçme_sistemleri!K$13</f>
        <v>6</v>
      </c>
      <c r="AD155" s="1">
        <f>$O155*[20]ölçme_sistemleri!L$13</f>
        <v>9</v>
      </c>
      <c r="AE155" s="1">
        <f t="shared" si="83"/>
        <v>0</v>
      </c>
      <c r="AF155" s="1">
        <f t="shared" si="84"/>
        <v>12</v>
      </c>
      <c r="AG155" s="1">
        <f t="shared" si="85"/>
        <v>9</v>
      </c>
      <c r="AH155" s="1">
        <f t="shared" si="86"/>
        <v>21</v>
      </c>
      <c r="AI155" s="1">
        <v>14</v>
      </c>
      <c r="AJ155" s="1">
        <f>VLOOKUP(X155,[20]ölçme_sistemleri!I:M,5,FALSE)</f>
        <v>2</v>
      </c>
      <c r="AK155" s="1">
        <f t="shared" si="87"/>
        <v>294</v>
      </c>
      <c r="AL155" s="1">
        <f t="shared" ref="AL155:AL163" si="110">(Q155+S155)*AI155</f>
        <v>42</v>
      </c>
      <c r="AM155" s="1">
        <f>VLOOKUP(X155,[20]ölçme_sistemleri!I:N,6,FALSE)</f>
        <v>3</v>
      </c>
      <c r="AN155" s="1">
        <v>2</v>
      </c>
      <c r="AO155" s="1">
        <f t="shared" si="88"/>
        <v>6</v>
      </c>
      <c r="AP155" s="1">
        <v>14</v>
      </c>
      <c r="AQ155" s="1">
        <f t="shared" si="105"/>
        <v>42</v>
      </c>
      <c r="AR155" s="1">
        <f t="shared" si="89"/>
        <v>111</v>
      </c>
      <c r="AS155" s="1">
        <f t="shared" si="109"/>
        <v>25</v>
      </c>
      <c r="AT155" s="1">
        <f t="shared" si="90"/>
        <v>4</v>
      </c>
      <c r="AU155" s="1">
        <f t="shared" si="106"/>
        <v>0</v>
      </c>
      <c r="AV155" s="1">
        <f t="shared" si="96"/>
        <v>0</v>
      </c>
      <c r="AW155" s="1">
        <f t="shared" si="97"/>
        <v>0</v>
      </c>
      <c r="AX155" s="1">
        <f t="shared" si="98"/>
        <v>0</v>
      </c>
      <c r="AY155" s="1">
        <f t="shared" si="91"/>
        <v>-21</v>
      </c>
      <c r="AZ155" s="1">
        <f t="shared" si="99"/>
        <v>0</v>
      </c>
      <c r="BA155" s="1">
        <f t="shared" si="92"/>
        <v>-42</v>
      </c>
      <c r="BB155" s="1">
        <f t="shared" si="100"/>
        <v>0</v>
      </c>
      <c r="BC155" s="1">
        <f t="shared" si="93"/>
        <v>-6</v>
      </c>
      <c r="BD155" s="1">
        <f t="shared" si="94"/>
        <v>0</v>
      </c>
      <c r="BE155" s="1" t="s">
        <v>65</v>
      </c>
      <c r="BF155" s="1">
        <f t="shared" si="101"/>
        <v>42</v>
      </c>
      <c r="BG155" s="1">
        <f t="shared" si="102"/>
        <v>42</v>
      </c>
      <c r="BH155" s="1">
        <f t="shared" si="95"/>
        <v>1</v>
      </c>
      <c r="BI155" s="1" t="e">
        <f>IF(BH155-#REF!=0,"DOĞRU","YANLIŞ")</f>
        <v>#REF!</v>
      </c>
      <c r="BJ155" s="1" t="e">
        <f>#REF!-BH155</f>
        <v>#REF!</v>
      </c>
      <c r="BK155" s="1">
        <v>0</v>
      </c>
      <c r="BM155" s="1">
        <v>1</v>
      </c>
      <c r="BO155" s="1">
        <v>4</v>
      </c>
      <c r="BT155" s="8">
        <f t="shared" si="107"/>
        <v>0</v>
      </c>
      <c r="BU155" s="9"/>
      <c r="BV155" s="10"/>
      <c r="BW155" s="11"/>
      <c r="BX155" s="11"/>
      <c r="BY155" s="11"/>
      <c r="BZ155" s="11"/>
      <c r="CA155" s="11"/>
      <c r="CB155" s="12"/>
      <c r="CC155" s="13"/>
      <c r="CD155" s="14"/>
      <c r="CL155" s="11"/>
      <c r="CM155" s="11"/>
      <c r="CN155" s="11"/>
      <c r="CO155" s="11"/>
      <c r="CP155" s="11"/>
      <c r="CQ155" s="46"/>
      <c r="CR155" s="46"/>
      <c r="CS155" s="48"/>
      <c r="CT155" s="48"/>
      <c r="CU155" s="48"/>
      <c r="CV155" s="48"/>
      <c r="CW155" s="49"/>
      <c r="CX155" s="49"/>
    </row>
    <row r="156" spans="1:102" hidden="1" x14ac:dyDescent="0.25">
      <c r="A156" s="1" t="s">
        <v>389</v>
      </c>
      <c r="B156" s="1" t="s">
        <v>210</v>
      </c>
      <c r="C156" s="1" t="s">
        <v>210</v>
      </c>
      <c r="D156" s="2" t="s">
        <v>63</v>
      </c>
      <c r="E156" s="2" t="s">
        <v>63</v>
      </c>
      <c r="F156" s="3" t="e">
        <f>IF(BE156="S",
IF(#REF!+BM156=2018,
IF(#REF!=1,"18-19/1",
IF(#REF!=2,"18-19/2",
IF(#REF!=3,"19-20/1",
IF(#REF!=4,"19-20/2",
IF(#REF!=5,"20-21/1",
IF(#REF!=6,"20-21/2",
IF(#REF!=7,"21-22/1",
IF(#REF!=8,"21-22/2","Hata1")))))))),
IF(#REF!+BM156=2019,
IF(#REF!=1,"19-20/1",
IF(#REF!=2,"19-20/2",
IF(#REF!=3,"20-21/1",
IF(#REF!=4,"20-21/2",
IF(#REF!=5,"21-22/1",
IF(#REF!=6,"21-22/2",
IF(#REF!=7,"22-23/1",
IF(#REF!=8,"22-23/2","Hata2")))))))),
IF(#REF!+BM156=2020,
IF(#REF!=1,"20-21/1",
IF(#REF!=2,"20-21/2",
IF(#REF!=3,"21-22/1",
IF(#REF!=4,"21-22/2",
IF(#REF!=5,"22-23/1",
IF(#REF!=6,"22-23/2",
IF(#REF!=7,"23-24/1",
IF(#REF!=8,"23-24/2","Hata3")))))))),
IF(#REF!+BM156=2021,
IF(#REF!=1,"21-22/1",
IF(#REF!=2,"21-22/2",
IF(#REF!=3,"22-23/1",
IF(#REF!=4,"22-23/2",
IF(#REF!=5,"23-24/1",
IF(#REF!=6,"23-24/2",
IF(#REF!=7,"24-25/1",
IF(#REF!=8,"24-25/2","Hata4")))))))),
IF(#REF!+BM156=2022,
IF(#REF!=1,"22-23/1",
IF(#REF!=2,"22-23/2",
IF(#REF!=3,"23-24/1",
IF(#REF!=4,"23-24/2",
IF(#REF!=5,"24-25/1",
IF(#REF!=6,"24-25/2",
IF(#REF!=7,"25-26/1",
IF(#REF!=8,"25-26/2","Hata5")))))))),
IF(#REF!+BM156=2023,
IF(#REF!=1,"23-24/1",
IF(#REF!=2,"23-24/2",
IF(#REF!=3,"24-25/1",
IF(#REF!=4,"24-25/2",
IF(#REF!=5,"25-26/1",
IF(#REF!=6,"25-26/2",
IF(#REF!=7,"26-27/1",
IF(#REF!=8,"26-27/2","Hata6")))))))),
)))))),
IF(BE156="T",
IF(#REF!+BM156=2018,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6" s="1" t="s">
        <v>75</v>
      </c>
      <c r="J156" s="1">
        <v>4234776</v>
      </c>
      <c r="L156" s="2">
        <v>3540</v>
      </c>
      <c r="N156" s="2">
        <v>5</v>
      </c>
      <c r="O156" s="6">
        <f t="shared" si="81"/>
        <v>3</v>
      </c>
      <c r="P156" s="2">
        <f t="shared" si="82"/>
        <v>3</v>
      </c>
      <c r="Q156" s="2">
        <v>3</v>
      </c>
      <c r="R156" s="2">
        <v>0</v>
      </c>
      <c r="S156" s="2">
        <v>0</v>
      </c>
      <c r="X156" s="3">
        <v>3</v>
      </c>
      <c r="Y156" s="1">
        <f>VLOOKUP(X156,[20]ölçme_sistemleri!I:L,2,FALSE)</f>
        <v>2</v>
      </c>
      <c r="Z156" s="1">
        <f>VLOOKUP(X156,[20]ölçme_sistemleri!I:L,3,FALSE)</f>
        <v>1</v>
      </c>
      <c r="AA156" s="1">
        <f>VLOOKUP(X156,[20]ölçme_sistemleri!I:L,4,FALSE)</f>
        <v>1</v>
      </c>
      <c r="AB156" s="1">
        <f>$O156*[20]ölçme_sistemleri!J$13</f>
        <v>3</v>
      </c>
      <c r="AC156" s="1">
        <f>$O156*[20]ölçme_sistemleri!K$13</f>
        <v>6</v>
      </c>
      <c r="AD156" s="1">
        <f>$O156*[20]ölçme_sistemleri!L$13</f>
        <v>9</v>
      </c>
      <c r="AE156" s="1">
        <f t="shared" si="83"/>
        <v>6</v>
      </c>
      <c r="AF156" s="1">
        <f t="shared" si="84"/>
        <v>6</v>
      </c>
      <c r="AG156" s="1">
        <f t="shared" si="85"/>
        <v>9</v>
      </c>
      <c r="AH156" s="1">
        <f t="shared" si="86"/>
        <v>21</v>
      </c>
      <c r="AI156" s="1">
        <v>14</v>
      </c>
      <c r="AJ156" s="1">
        <f>VLOOKUP(X156,[20]ölçme_sistemleri!I:M,5,FALSE)</f>
        <v>3</v>
      </c>
      <c r="AK156" s="1">
        <f t="shared" si="87"/>
        <v>294</v>
      </c>
      <c r="AL156" s="1">
        <f t="shared" si="110"/>
        <v>42</v>
      </c>
      <c r="AM156" s="1">
        <f>VLOOKUP(X156,[20]ölçme_sistemleri!I:N,6,FALSE)</f>
        <v>4</v>
      </c>
      <c r="AN156" s="1">
        <v>2</v>
      </c>
      <c r="AO156" s="1">
        <f t="shared" si="88"/>
        <v>8</v>
      </c>
      <c r="AP156" s="1">
        <v>14</v>
      </c>
      <c r="AQ156" s="1">
        <f t="shared" si="105"/>
        <v>42</v>
      </c>
      <c r="AR156" s="1">
        <f t="shared" si="89"/>
        <v>113</v>
      </c>
      <c r="AS156" s="1">
        <f t="shared" si="109"/>
        <v>25</v>
      </c>
      <c r="AT156" s="1">
        <f t="shared" si="90"/>
        <v>5</v>
      </c>
      <c r="AU156" s="1">
        <f t="shared" si="106"/>
        <v>0</v>
      </c>
      <c r="AV156" s="1">
        <f t="shared" ref="AV156:AV187" si="111">IF(BE156="s",IF(W156=0,0,
IF(W156=1,N156*4*4,
IF(W156=2,0,
IF(W156=3,N156*4*2,
IF(W156=4,0,
IF(W156=5,0,
IF(W156=6,0,
IF(W156=7,0)))))))),
IF(BE156="t",
IF(W156=0,0,
IF(W156=1,N156*4*4*0.8,
IF(W156=2,0,
IF(W156=3,N156*4*2*0.8,
IF(W156=4,0,
IF(W156=5,0,
IF(W156=6,0,
IF(W156=7,0))))))))))</f>
        <v>0</v>
      </c>
      <c r="AW156" s="1">
        <f t="shared" ref="AW156:AW187" si="112">IF(BE156="s",
IF(W156=0,0,
IF(W156=1,0,
IF(W156=2,N156*4*2,
IF(W156=3,N156*4,
IF(W156=4,N156*4,
IF(W156=5,0,
IF(W156=6,0,
IF(W156=7,N156*4)))))))),
IF(BE156="t",
IF(W156=0,0,
IF(W156=1,0,
IF(W156=2,N156*4*2*0.8,
IF(W156=3,N156*4*0.8,
IF(W156=4,N156*4*0.8,
IF(W156=5,0,
IF(W156=6,0,
IF(W156=7,N156*4))))))))))</f>
        <v>0</v>
      </c>
      <c r="AX156" s="1">
        <f t="shared" ref="AX156:AX187" si="113">IF(BE156="s",
IF(W156=0,0,
IF(W156=1,N156*2,
IF(W156=2,N156*2,
IF(W156=3,N156*2,
IF(W156=4,N156*2,
IF(W156=5,N156*2,
IF(W156=6,N156*2,
IF(W156=7,N156*2)))))))),
IF(BE156="t",
IF(W156=0,O156*2*0.8,
IF(W156=1,N156*2*0.8,
IF(W156=2,N156*2*0.8,
IF(W156=3,N156*2*0.8,
IF(W156=4,N156*2*0.8,
IF(W156=5,N156*2*0.8,
IF(W156=6,N156*1*0.8,
IF(W156=7,N156*2))))))))))</f>
        <v>0</v>
      </c>
      <c r="AY156" s="1">
        <f t="shared" si="91"/>
        <v>-21</v>
      </c>
      <c r="AZ156" s="1">
        <f t="shared" ref="AZ156:AZ187" si="114">IF(BE156="s",
IF(W156=0,0,
IF(W156=1,(14-2)*(P156+R156)/4*4,
IF(W156=2,(14-2)*(P156+R156)/4*2,
IF(W156=3,(14-2)*(P156+R156)/4*3,
IF(W156=4,(14-2)*(P156+R156)/4,
IF(W156=5,(14-2)*N156/4,
IF(W156=6,0,
IF(W156=7,(14)*R156)))))))),
IF(BE156="t",
IF(W156=0,0,
IF(W156=1,(11-2)*(P156+R156)/4*4,
IF(W156=2,(11-2)*(P156+R156)/4*2,
IF(W156=3,(11-2)*(P156+R156)/4*3,
IF(W156=4,(11-2)*(P156+R156)/4,
IF(W156=5,(11-2)*N156/4,
IF(W156=6,0,
IF(W156=7,(11)*N156))))))))))</f>
        <v>0</v>
      </c>
      <c r="BA156" s="1">
        <f t="shared" si="92"/>
        <v>-42</v>
      </c>
      <c r="BB156" s="1">
        <f t="shared" ref="BB156:BB186" si="115">IF(BE156="s",
IF(W156=0,0,
IF(W156=1,4*5,
IF(W156=2,4*3,
IF(W156=3,4*4,
IF(W156=4,4*2,
IF(W156=5,4,
IF(W156=6,4/2,
IF(W156=7,4*2,)))))))),
IF(BE156="t",
IF(W156=0,0,
IF(W156=1,4*5,
IF(W156=2,4*3,
IF(W156=3,4*4,
IF(W156=4,4*2,
IF(W156=5,4,
IF(W156=6,4/2,
IF(W156=7,4*2))))))))))</f>
        <v>0</v>
      </c>
      <c r="BC156" s="1">
        <f t="shared" si="93"/>
        <v>-8</v>
      </c>
      <c r="BD156" s="1">
        <f t="shared" si="94"/>
        <v>0</v>
      </c>
      <c r="BE156" s="1" t="s">
        <v>65</v>
      </c>
      <c r="BF156" s="1">
        <f t="shared" si="101"/>
        <v>42</v>
      </c>
      <c r="BG156" s="1">
        <f t="shared" si="102"/>
        <v>42</v>
      </c>
      <c r="BH156" s="1">
        <f t="shared" si="95"/>
        <v>1</v>
      </c>
      <c r="BI156" s="1" t="e">
        <f>IF(BH156-#REF!=0,"DOĞRU","YANLIŞ")</f>
        <v>#REF!</v>
      </c>
      <c r="BJ156" s="1" t="e">
        <f>#REF!-BH156</f>
        <v>#REF!</v>
      </c>
      <c r="BK156" s="1">
        <v>1</v>
      </c>
      <c r="BM156" s="1">
        <v>1</v>
      </c>
      <c r="BO156" s="1">
        <v>4</v>
      </c>
      <c r="BT156" s="8">
        <f t="shared" si="107"/>
        <v>0</v>
      </c>
      <c r="BU156" s="9"/>
      <c r="BV156" s="10"/>
      <c r="BW156" s="11"/>
      <c r="BX156" s="11"/>
      <c r="BY156" s="11"/>
      <c r="BZ156" s="11"/>
      <c r="CA156" s="11"/>
      <c r="CB156" s="12"/>
      <c r="CC156" s="13"/>
      <c r="CD156" s="14"/>
      <c r="CL156" s="11"/>
      <c r="CM156" s="11"/>
      <c r="CN156" s="11"/>
      <c r="CO156" s="11"/>
      <c r="CP156" s="11"/>
      <c r="CQ156" s="54"/>
      <c r="CR156" s="46"/>
      <c r="CS156" s="54"/>
      <c r="CT156" s="48"/>
      <c r="CU156" s="48"/>
      <c r="CV156" s="48"/>
      <c r="CW156" s="49"/>
      <c r="CX156" s="49"/>
    </row>
    <row r="157" spans="1:102" hidden="1" x14ac:dyDescent="0.25">
      <c r="A157" s="1" t="s">
        <v>204</v>
      </c>
      <c r="B157" s="1" t="s">
        <v>205</v>
      </c>
      <c r="C157" s="1" t="s">
        <v>205</v>
      </c>
      <c r="D157" s="2" t="s">
        <v>63</v>
      </c>
      <c r="E157" s="2" t="s">
        <v>63</v>
      </c>
      <c r="F157" s="3" t="e">
        <f>IF(BE157="S",
IF(#REF!+BM157=2018,
IF(#REF!=1,"18-19/1",
IF(#REF!=2,"18-19/2",
IF(#REF!=3,"19-20/1",
IF(#REF!=4,"19-20/2",
IF(#REF!=5,"20-21/1",
IF(#REF!=6,"20-21/2",
IF(#REF!=7,"21-22/1",
IF(#REF!=8,"21-22/2","Hata1")))))))),
IF(#REF!+BM157=2019,
IF(#REF!=1,"19-20/1",
IF(#REF!=2,"19-20/2",
IF(#REF!=3,"20-21/1",
IF(#REF!=4,"20-21/2",
IF(#REF!=5,"21-22/1",
IF(#REF!=6,"21-22/2",
IF(#REF!=7,"22-23/1",
IF(#REF!=8,"22-23/2","Hata2")))))))),
IF(#REF!+BM157=2020,
IF(#REF!=1,"20-21/1",
IF(#REF!=2,"20-21/2",
IF(#REF!=3,"21-22/1",
IF(#REF!=4,"21-22/2",
IF(#REF!=5,"22-23/1",
IF(#REF!=6,"22-23/2",
IF(#REF!=7,"23-24/1",
IF(#REF!=8,"23-24/2","Hata3")))))))),
IF(#REF!+BM157=2021,
IF(#REF!=1,"21-22/1",
IF(#REF!=2,"21-22/2",
IF(#REF!=3,"22-23/1",
IF(#REF!=4,"22-23/2",
IF(#REF!=5,"23-24/1",
IF(#REF!=6,"23-24/2",
IF(#REF!=7,"24-25/1",
IF(#REF!=8,"24-25/2","Hata4")))))))),
IF(#REF!+BM157=2022,
IF(#REF!=1,"22-23/1",
IF(#REF!=2,"22-23/2",
IF(#REF!=3,"23-24/1",
IF(#REF!=4,"23-24/2",
IF(#REF!=5,"24-25/1",
IF(#REF!=6,"24-25/2",
IF(#REF!=7,"25-26/1",
IF(#REF!=8,"25-26/2","Hata5")))))))),
IF(#REF!+BM157=2023,
IF(#REF!=1,"23-24/1",
IF(#REF!=2,"23-24/2",
IF(#REF!=3,"24-25/1",
IF(#REF!=4,"24-25/2",
IF(#REF!=5,"25-26/1",
IF(#REF!=6,"25-26/2",
IF(#REF!=7,"26-27/1",
IF(#REF!=8,"26-27/2","Hata6")))))))),
)))))),
IF(BE157="T",
IF(#REF!+BM157=2018,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7" s="1" t="s">
        <v>75</v>
      </c>
      <c r="J157" s="1">
        <v>4234776</v>
      </c>
      <c r="L157" s="2">
        <v>1171</v>
      </c>
      <c r="N157" s="31">
        <v>5</v>
      </c>
      <c r="O157" s="6">
        <f t="shared" si="81"/>
        <v>3</v>
      </c>
      <c r="P157" s="2">
        <f t="shared" si="82"/>
        <v>3</v>
      </c>
      <c r="Q157" s="30">
        <v>3</v>
      </c>
      <c r="R157" s="30">
        <v>0</v>
      </c>
      <c r="S157" s="2">
        <v>0</v>
      </c>
      <c r="X157" s="32">
        <v>3</v>
      </c>
      <c r="Y157" s="1">
        <f>VLOOKUP($X157,[21]ölçme_sistemleri!$I$3:$N$10,2,FALSE)</f>
        <v>2</v>
      </c>
      <c r="Z157" s="1">
        <f>VLOOKUP($X157,[21]ölçme_sistemleri!$I$3:$N$10,3,FALSE)</f>
        <v>1</v>
      </c>
      <c r="AA157" s="1">
        <f>VLOOKUP($X157,[21]ölçme_sistemleri!$I$3:$N$10,4,FALSE)</f>
        <v>1</v>
      </c>
      <c r="AB157" s="1">
        <f>VLOOKUP($BE157,[21]ölçme_sistemleri!$I$13:$L$14,2,FALSE)*$O157</f>
        <v>3</v>
      </c>
      <c r="AC157" s="1">
        <f>VLOOKUP($BE157,[21]ölçme_sistemleri!$I$13:$L$14,3,FALSE)*$O157</f>
        <v>6</v>
      </c>
      <c r="AD157" s="1">
        <f>VLOOKUP($BE157,[21]ölçme_sistemleri!$I$13:$L$14,4,FALSE)*$O157</f>
        <v>9</v>
      </c>
      <c r="AE157" s="1">
        <f t="shared" si="83"/>
        <v>6</v>
      </c>
      <c r="AF157" s="1">
        <f t="shared" si="84"/>
        <v>6</v>
      </c>
      <c r="AG157" s="1">
        <f t="shared" si="85"/>
        <v>9</v>
      </c>
      <c r="AH157" s="1">
        <f t="shared" si="86"/>
        <v>21</v>
      </c>
      <c r="AI157" s="1">
        <v>14</v>
      </c>
      <c r="AJ157" s="1">
        <f>VLOOKUP(X$2:X161,[21]ölçme_sistemleri!$I$3:$M$10,5,FALSE)</f>
        <v>3</v>
      </c>
      <c r="AK157" s="1">
        <f t="shared" si="87"/>
        <v>294</v>
      </c>
      <c r="AL157" s="1">
        <f t="shared" si="110"/>
        <v>42</v>
      </c>
      <c r="AM157" s="1">
        <f>VLOOKUP(X$2:$X161,[21]ölçme_sistemleri!$I$3:$N$10,6,FALSE)</f>
        <v>4</v>
      </c>
      <c r="AN157" s="1">
        <v>2</v>
      </c>
      <c r="AO157" s="1">
        <f t="shared" si="88"/>
        <v>8</v>
      </c>
      <c r="AP157" s="1">
        <v>14</v>
      </c>
      <c r="AQ157" s="1">
        <f t="shared" si="105"/>
        <v>42</v>
      </c>
      <c r="AR157" s="1">
        <f t="shared" si="89"/>
        <v>113</v>
      </c>
      <c r="AS157" s="1">
        <f t="shared" si="109"/>
        <v>25</v>
      </c>
      <c r="AT157" s="1">
        <f t="shared" si="90"/>
        <v>5</v>
      </c>
      <c r="AU157" s="1">
        <f t="shared" si="106"/>
        <v>0</v>
      </c>
      <c r="AV157" s="1">
        <f t="shared" si="111"/>
        <v>0</v>
      </c>
      <c r="AW157" s="1">
        <f t="shared" si="112"/>
        <v>0</v>
      </c>
      <c r="AX157" s="1">
        <f t="shared" si="113"/>
        <v>0</v>
      </c>
      <c r="AY157" s="1">
        <f t="shared" si="91"/>
        <v>-21</v>
      </c>
      <c r="AZ157" s="1">
        <f t="shared" si="114"/>
        <v>0</v>
      </c>
      <c r="BA157" s="1">
        <f t="shared" si="92"/>
        <v>-42</v>
      </c>
      <c r="BB157" s="1">
        <f t="shared" si="115"/>
        <v>0</v>
      </c>
      <c r="BC157" s="1">
        <f t="shared" si="93"/>
        <v>-8</v>
      </c>
      <c r="BD157" s="1">
        <f t="shared" si="94"/>
        <v>0</v>
      </c>
      <c r="BE157" s="1" t="s">
        <v>65</v>
      </c>
      <c r="BF157" s="1">
        <f t="shared" si="101"/>
        <v>42</v>
      </c>
      <c r="BG157" s="1">
        <f t="shared" si="102"/>
        <v>42</v>
      </c>
      <c r="BH157" s="1">
        <f t="shared" si="95"/>
        <v>1</v>
      </c>
      <c r="BI157" s="1" t="e">
        <f>IF(BH157-#REF!=0,"DOĞRU","YANLIŞ")</f>
        <v>#REF!</v>
      </c>
      <c r="BJ157" s="1" t="e">
        <f>#REF!-BH157</f>
        <v>#REF!</v>
      </c>
      <c r="BK157" s="1">
        <v>1</v>
      </c>
      <c r="BM157" s="1">
        <v>1</v>
      </c>
      <c r="BO157" s="1">
        <v>2</v>
      </c>
      <c r="BT157" s="8">
        <f t="shared" si="107"/>
        <v>0</v>
      </c>
      <c r="BU157" s="9"/>
      <c r="BV157" s="10"/>
      <c r="BW157" s="11"/>
      <c r="BX157" s="11"/>
      <c r="BY157" s="11"/>
      <c r="BZ157" s="11"/>
      <c r="CA157" s="11"/>
      <c r="CB157" s="12"/>
      <c r="CC157" s="13"/>
      <c r="CD157" s="14"/>
      <c r="CL157" s="11"/>
      <c r="CM157" s="11"/>
      <c r="CN157" s="11"/>
      <c r="CO157" s="11"/>
      <c r="CP157" s="11"/>
      <c r="CQ157" s="54"/>
      <c r="CR157" s="46"/>
      <c r="CS157" s="54"/>
      <c r="CT157" s="48"/>
      <c r="CU157" s="48"/>
      <c r="CV157" s="48"/>
      <c r="CW157" s="49"/>
      <c r="CX157" s="49"/>
    </row>
    <row r="158" spans="1:102" hidden="1" x14ac:dyDescent="0.25">
      <c r="A158" s="1" t="s">
        <v>486</v>
      </c>
      <c r="B158" s="1" t="s">
        <v>203</v>
      </c>
      <c r="C158" s="1" t="s">
        <v>203</v>
      </c>
      <c r="D158" s="2" t="s">
        <v>63</v>
      </c>
      <c r="E158" s="2" t="s">
        <v>63</v>
      </c>
      <c r="F158" s="3" t="e">
        <f>IF(BE158="S",
IF(#REF!+BM158=2018,
IF(#REF!=1,"18-19/1",
IF(#REF!=2,"18-19/2",
IF(#REF!=3,"19-20/1",
IF(#REF!=4,"19-20/2",
IF(#REF!=5,"20-21/1",
IF(#REF!=6,"20-21/2",
IF(#REF!=7,"21-22/1",
IF(#REF!=8,"21-22/2","Hata1")))))))),
IF(#REF!+BM158=2019,
IF(#REF!=1,"19-20/1",
IF(#REF!=2,"19-20/2",
IF(#REF!=3,"20-21/1",
IF(#REF!=4,"20-21/2",
IF(#REF!=5,"21-22/1",
IF(#REF!=6,"21-22/2",
IF(#REF!=7,"22-23/1",
IF(#REF!=8,"22-23/2","Hata2")))))))),
IF(#REF!+BM158=2020,
IF(#REF!=1,"20-21/1",
IF(#REF!=2,"20-21/2",
IF(#REF!=3,"21-22/1",
IF(#REF!=4,"21-22/2",
IF(#REF!=5,"22-23/1",
IF(#REF!=6,"22-23/2",
IF(#REF!=7,"23-24/1",
IF(#REF!=8,"23-24/2","Hata3")))))))),
IF(#REF!+BM158=2021,
IF(#REF!=1,"21-22/1",
IF(#REF!=2,"21-22/2",
IF(#REF!=3,"22-23/1",
IF(#REF!=4,"22-23/2",
IF(#REF!=5,"23-24/1",
IF(#REF!=6,"23-24/2",
IF(#REF!=7,"24-25/1",
IF(#REF!=8,"24-25/2","Hata4")))))))),
IF(#REF!+BM158=2022,
IF(#REF!=1,"22-23/1",
IF(#REF!=2,"22-23/2",
IF(#REF!=3,"23-24/1",
IF(#REF!=4,"23-24/2",
IF(#REF!=5,"24-25/1",
IF(#REF!=6,"24-25/2",
IF(#REF!=7,"25-26/1",
IF(#REF!=8,"25-26/2","Hata5")))))))),
IF(#REF!+BM158=2023,
IF(#REF!=1,"23-24/1",
IF(#REF!=2,"23-24/2",
IF(#REF!=3,"24-25/1",
IF(#REF!=4,"24-25/2",
IF(#REF!=5,"25-26/1",
IF(#REF!=6,"25-26/2",
IF(#REF!=7,"26-27/1",
IF(#REF!=8,"26-27/2","Hata6")))))))),
)))))),
IF(BE158="T",
IF(#REF!+BM158=2018,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8" s="1" t="s">
        <v>75</v>
      </c>
      <c r="J158" s="1">
        <v>4234776</v>
      </c>
      <c r="L158" s="2">
        <v>3543</v>
      </c>
      <c r="N158" s="31">
        <v>7</v>
      </c>
      <c r="O158" s="6">
        <f t="shared" si="81"/>
        <v>3</v>
      </c>
      <c r="P158" s="2">
        <f t="shared" si="82"/>
        <v>3</v>
      </c>
      <c r="Q158" s="2">
        <v>3</v>
      </c>
      <c r="R158" s="2">
        <v>0</v>
      </c>
      <c r="S158" s="2">
        <v>0</v>
      </c>
      <c r="X158" s="3">
        <v>3</v>
      </c>
      <c r="Y158" s="1">
        <f>VLOOKUP($X158,[21]ölçme_sistemleri!$I$3:$N$10,2,FALSE)</f>
        <v>2</v>
      </c>
      <c r="Z158" s="1">
        <f>VLOOKUP($X158,[21]ölçme_sistemleri!$I$3:$N$10,3,FALSE)</f>
        <v>1</v>
      </c>
      <c r="AA158" s="1">
        <f>VLOOKUP($X158,[21]ölçme_sistemleri!$I$3:$N$10,4,FALSE)</f>
        <v>1</v>
      </c>
      <c r="AB158" s="1">
        <f>VLOOKUP($BE158,[21]ölçme_sistemleri!$I$13:$L$14,2,FALSE)*$O158</f>
        <v>3</v>
      </c>
      <c r="AC158" s="1">
        <f>VLOOKUP($BE158,[21]ölçme_sistemleri!$I$13:$L$14,3,FALSE)*$O158</f>
        <v>6</v>
      </c>
      <c r="AD158" s="1">
        <f>VLOOKUP($BE158,[21]ölçme_sistemleri!$I$13:$L$14,4,FALSE)*$O158</f>
        <v>9</v>
      </c>
      <c r="AE158" s="1">
        <f t="shared" si="83"/>
        <v>6</v>
      </c>
      <c r="AF158" s="1">
        <f t="shared" si="84"/>
        <v>6</v>
      </c>
      <c r="AG158" s="1">
        <f t="shared" si="85"/>
        <v>9</v>
      </c>
      <c r="AH158" s="1">
        <f t="shared" si="86"/>
        <v>21</v>
      </c>
      <c r="AI158" s="1">
        <v>14</v>
      </c>
      <c r="AJ158" s="1">
        <f>VLOOKUP(X$2:X161,[21]ölçme_sistemleri!$I$3:$M$10,5,FALSE)</f>
        <v>3</v>
      </c>
      <c r="AK158" s="1">
        <f t="shared" si="87"/>
        <v>294</v>
      </c>
      <c r="AL158" s="1">
        <f t="shared" si="110"/>
        <v>42</v>
      </c>
      <c r="AM158" s="1">
        <f>VLOOKUP(X$2:$X161,[21]ölçme_sistemleri!$I$3:$N$10,6,FALSE)</f>
        <v>4</v>
      </c>
      <c r="AN158" s="1">
        <v>2</v>
      </c>
      <c r="AO158" s="1">
        <f t="shared" si="88"/>
        <v>8</v>
      </c>
      <c r="AP158" s="1">
        <v>14</v>
      </c>
      <c r="AQ158" s="1">
        <f t="shared" si="105"/>
        <v>42</v>
      </c>
      <c r="AR158" s="1">
        <f t="shared" si="89"/>
        <v>113</v>
      </c>
      <c r="AS158" s="1">
        <f t="shared" si="109"/>
        <v>25</v>
      </c>
      <c r="AT158" s="1">
        <f t="shared" si="90"/>
        <v>5</v>
      </c>
      <c r="AU158" s="1">
        <f t="shared" si="106"/>
        <v>-2</v>
      </c>
      <c r="AV158" s="1">
        <f t="shared" si="111"/>
        <v>0</v>
      </c>
      <c r="AW158" s="1">
        <f t="shared" si="112"/>
        <v>0</v>
      </c>
      <c r="AX158" s="1">
        <f t="shared" si="113"/>
        <v>0</v>
      </c>
      <c r="AY158" s="1">
        <f t="shared" si="91"/>
        <v>-21</v>
      </c>
      <c r="AZ158" s="1">
        <f t="shared" si="114"/>
        <v>0</v>
      </c>
      <c r="BA158" s="1">
        <f t="shared" si="92"/>
        <v>-42</v>
      </c>
      <c r="BB158" s="1">
        <f t="shared" si="115"/>
        <v>0</v>
      </c>
      <c r="BC158" s="1">
        <f t="shared" si="93"/>
        <v>-8</v>
      </c>
      <c r="BD158" s="1">
        <f t="shared" si="94"/>
        <v>0</v>
      </c>
      <c r="BE158" s="1" t="s">
        <v>65</v>
      </c>
      <c r="BF158" s="1">
        <f t="shared" si="101"/>
        <v>42</v>
      </c>
      <c r="BG158" s="1">
        <f t="shared" si="102"/>
        <v>42</v>
      </c>
      <c r="BH158" s="1">
        <f t="shared" si="95"/>
        <v>1</v>
      </c>
      <c r="BI158" s="1" t="e">
        <f>IF(BH158-#REF!=0,"DOĞRU","YANLIŞ")</f>
        <v>#REF!</v>
      </c>
      <c r="BJ158" s="1" t="e">
        <f>#REF!-BH158</f>
        <v>#REF!</v>
      </c>
      <c r="BK158" s="1">
        <v>1</v>
      </c>
      <c r="BM158" s="1">
        <v>1</v>
      </c>
      <c r="BO158" s="1">
        <v>2</v>
      </c>
      <c r="BT158" s="8">
        <f t="shared" si="107"/>
        <v>0</v>
      </c>
      <c r="BU158" s="9"/>
      <c r="BV158" s="10"/>
      <c r="BW158" s="11"/>
      <c r="BX158" s="11"/>
      <c r="BY158" s="11"/>
      <c r="BZ158" s="11"/>
      <c r="CA158" s="11"/>
      <c r="CB158" s="12"/>
      <c r="CC158" s="13"/>
      <c r="CD158" s="14"/>
      <c r="CL158" s="11"/>
      <c r="CM158" s="11"/>
      <c r="CN158" s="11"/>
      <c r="CO158" s="11"/>
      <c r="CP158" s="11"/>
      <c r="CQ158" s="46"/>
      <c r="CR158" s="46"/>
      <c r="CS158" s="48"/>
      <c r="CT158" s="48"/>
      <c r="CU158" s="48"/>
      <c r="CV158" s="48"/>
      <c r="CW158" s="49"/>
      <c r="CX158" s="49"/>
    </row>
    <row r="159" spans="1:102" hidden="1" x14ac:dyDescent="0.25">
      <c r="A159" s="1" t="s">
        <v>372</v>
      </c>
      <c r="B159" s="1" t="s">
        <v>373</v>
      </c>
      <c r="C159" s="1" t="s">
        <v>373</v>
      </c>
      <c r="D159" s="2" t="s">
        <v>63</v>
      </c>
      <c r="E159" s="2" t="s">
        <v>63</v>
      </c>
      <c r="F159" s="3" t="e">
        <f>IF(BE159="S",
IF(#REF!+BM159=2018,
IF(#REF!=1,"18-19/1",
IF(#REF!=2,"18-19/2",
IF(#REF!=3,"19-20/1",
IF(#REF!=4,"19-20/2",
IF(#REF!=5,"20-21/1",
IF(#REF!=6,"20-21/2",
IF(#REF!=7,"21-22/1",
IF(#REF!=8,"21-22/2","Hata1")))))))),
IF(#REF!+BM159=2019,
IF(#REF!=1,"19-20/1",
IF(#REF!=2,"19-20/2",
IF(#REF!=3,"20-21/1",
IF(#REF!=4,"20-21/2",
IF(#REF!=5,"21-22/1",
IF(#REF!=6,"21-22/2",
IF(#REF!=7,"22-23/1",
IF(#REF!=8,"22-23/2","Hata2")))))))),
IF(#REF!+BM159=2020,
IF(#REF!=1,"20-21/1",
IF(#REF!=2,"20-21/2",
IF(#REF!=3,"21-22/1",
IF(#REF!=4,"21-22/2",
IF(#REF!=5,"22-23/1",
IF(#REF!=6,"22-23/2",
IF(#REF!=7,"23-24/1",
IF(#REF!=8,"23-24/2","Hata3")))))))),
IF(#REF!+BM159=2021,
IF(#REF!=1,"21-22/1",
IF(#REF!=2,"21-22/2",
IF(#REF!=3,"22-23/1",
IF(#REF!=4,"22-23/2",
IF(#REF!=5,"23-24/1",
IF(#REF!=6,"23-24/2",
IF(#REF!=7,"24-25/1",
IF(#REF!=8,"24-25/2","Hata4")))))))),
IF(#REF!+BM159=2022,
IF(#REF!=1,"22-23/1",
IF(#REF!=2,"22-23/2",
IF(#REF!=3,"23-24/1",
IF(#REF!=4,"23-24/2",
IF(#REF!=5,"24-25/1",
IF(#REF!=6,"24-25/2",
IF(#REF!=7,"25-26/1",
IF(#REF!=8,"25-26/2","Hata5")))))))),
IF(#REF!+BM159=2023,
IF(#REF!=1,"23-24/1",
IF(#REF!=2,"23-24/2",
IF(#REF!=3,"24-25/1",
IF(#REF!=4,"24-25/2",
IF(#REF!=5,"25-26/1",
IF(#REF!=6,"25-26/2",
IF(#REF!=7,"26-27/1",
IF(#REF!=8,"26-27/2","Hata6")))))))),
)))))),
IF(BE159="T",
IF(#REF!+BM159=2018,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IF(#REF!+BM159=2019,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IF(#REF!+BM159=2020,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IF(#REF!+BM159=2021,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IF(#REF!+BM159=2022,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IF(#REF!+BM159=2023,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59" s="1" t="s">
        <v>75</v>
      </c>
      <c r="J159" s="1">
        <v>4234776</v>
      </c>
      <c r="L159" s="2">
        <v>1207</v>
      </c>
      <c r="N159" s="2">
        <v>5</v>
      </c>
      <c r="O159" s="6">
        <f t="shared" si="81"/>
        <v>3</v>
      </c>
      <c r="P159" s="2">
        <f t="shared" si="82"/>
        <v>3</v>
      </c>
      <c r="Q159" s="2">
        <v>3</v>
      </c>
      <c r="R159" s="2">
        <v>0</v>
      </c>
      <c r="S159" s="2">
        <v>0</v>
      </c>
      <c r="X159" s="3">
        <v>3</v>
      </c>
      <c r="Y159" s="1">
        <f>VLOOKUP(X159,[20]ölçme_sistemleri!I:L,2,FALSE)</f>
        <v>2</v>
      </c>
      <c r="Z159" s="1">
        <f>VLOOKUP(X159,[20]ölçme_sistemleri!I:L,3,FALSE)</f>
        <v>1</v>
      </c>
      <c r="AA159" s="1">
        <f>VLOOKUP(X159,[20]ölçme_sistemleri!I:L,4,FALSE)</f>
        <v>1</v>
      </c>
      <c r="AB159" s="1">
        <f>$O159*[20]ölçme_sistemleri!J$13</f>
        <v>3</v>
      </c>
      <c r="AC159" s="1">
        <f>$O159*[20]ölçme_sistemleri!K$13</f>
        <v>6</v>
      </c>
      <c r="AD159" s="1">
        <f>$O159*[20]ölçme_sistemleri!L$13</f>
        <v>9</v>
      </c>
      <c r="AE159" s="1">
        <f t="shared" si="83"/>
        <v>6</v>
      </c>
      <c r="AF159" s="1">
        <f t="shared" si="84"/>
        <v>6</v>
      </c>
      <c r="AG159" s="1">
        <f t="shared" si="85"/>
        <v>9</v>
      </c>
      <c r="AH159" s="1">
        <f t="shared" si="86"/>
        <v>21</v>
      </c>
      <c r="AI159" s="1">
        <v>14</v>
      </c>
      <c r="AJ159" s="1">
        <f>VLOOKUP(X159,[20]ölçme_sistemleri!I:M,5,FALSE)</f>
        <v>3</v>
      </c>
      <c r="AK159" s="1">
        <f t="shared" si="87"/>
        <v>294</v>
      </c>
      <c r="AL159" s="1">
        <f t="shared" si="110"/>
        <v>42</v>
      </c>
      <c r="AM159" s="1">
        <f>VLOOKUP(X159,[20]ölçme_sistemleri!I:N,6,FALSE)</f>
        <v>4</v>
      </c>
      <c r="AN159" s="1">
        <v>2</v>
      </c>
      <c r="AO159" s="1">
        <f t="shared" si="88"/>
        <v>8</v>
      </c>
      <c r="AP159" s="1">
        <v>14</v>
      </c>
      <c r="AQ159" s="1">
        <f t="shared" si="105"/>
        <v>42</v>
      </c>
      <c r="AR159" s="1">
        <f t="shared" si="89"/>
        <v>113</v>
      </c>
      <c r="AS159" s="1">
        <f t="shared" si="109"/>
        <v>25</v>
      </c>
      <c r="AT159" s="1">
        <f t="shared" si="90"/>
        <v>5</v>
      </c>
      <c r="AU159" s="1">
        <f t="shared" si="106"/>
        <v>0</v>
      </c>
      <c r="AV159" s="1">
        <f t="shared" si="111"/>
        <v>0</v>
      </c>
      <c r="AW159" s="1">
        <f t="shared" si="112"/>
        <v>0</v>
      </c>
      <c r="AX159" s="1">
        <f t="shared" si="113"/>
        <v>0</v>
      </c>
      <c r="AY159" s="1">
        <f t="shared" si="91"/>
        <v>-21</v>
      </c>
      <c r="AZ159" s="1">
        <f t="shared" si="114"/>
        <v>0</v>
      </c>
      <c r="BA159" s="1">
        <f t="shared" si="92"/>
        <v>-42</v>
      </c>
      <c r="BB159" s="1">
        <f t="shared" si="115"/>
        <v>0</v>
      </c>
      <c r="BC159" s="1">
        <f t="shared" si="93"/>
        <v>-8</v>
      </c>
      <c r="BD159" s="1">
        <f t="shared" si="94"/>
        <v>0</v>
      </c>
      <c r="BE159" s="1" t="s">
        <v>65</v>
      </c>
      <c r="BF159" s="1">
        <f t="shared" ref="BF159:BF190" si="116">IF(BL159="A",0,IF(BE159="s",14*O159,IF(BE159="T",11*O159,"HATA")))</f>
        <v>42</v>
      </c>
      <c r="BG159" s="1">
        <f t="shared" ref="BG159:BG189" si="117">IF(BL159="Z",(BF159+BD159)*1.15,(BF159+BD159))</f>
        <v>42</v>
      </c>
      <c r="BH159" s="1">
        <f t="shared" si="95"/>
        <v>1</v>
      </c>
      <c r="BI159" s="1" t="e">
        <f>IF(BH159-#REF!=0,"DOĞRU","YANLIŞ")</f>
        <v>#REF!</v>
      </c>
      <c r="BJ159" s="1" t="e">
        <f>#REF!-BH159</f>
        <v>#REF!</v>
      </c>
      <c r="BK159" s="1">
        <v>1</v>
      </c>
      <c r="BM159" s="1">
        <v>0</v>
      </c>
      <c r="BO159" s="1">
        <v>2</v>
      </c>
      <c r="BT159" s="8">
        <f t="shared" si="107"/>
        <v>0</v>
      </c>
      <c r="BU159" s="9"/>
      <c r="BV159" s="10"/>
      <c r="BW159" s="11"/>
      <c r="BX159" s="11"/>
      <c r="BY159" s="11"/>
      <c r="BZ159" s="11"/>
      <c r="CA159" s="11"/>
      <c r="CB159" s="12"/>
      <c r="CC159" s="13"/>
      <c r="CD159" s="14"/>
      <c r="CL159" s="11"/>
      <c r="CM159" s="11"/>
      <c r="CN159" s="11"/>
      <c r="CO159" s="11"/>
      <c r="CP159" s="11"/>
      <c r="CQ159" s="49"/>
      <c r="CR159" s="46"/>
      <c r="CS159" s="54"/>
      <c r="CT159" s="48"/>
      <c r="CU159" s="48"/>
      <c r="CV159" s="48"/>
      <c r="CW159" s="49"/>
      <c r="CX159" s="49"/>
    </row>
    <row r="160" spans="1:102" hidden="1" x14ac:dyDescent="0.25">
      <c r="A160" s="1" t="s">
        <v>207</v>
      </c>
      <c r="B160" s="1" t="s">
        <v>208</v>
      </c>
      <c r="C160" s="1" t="s">
        <v>208</v>
      </c>
      <c r="D160" s="2" t="s">
        <v>63</v>
      </c>
      <c r="E160" s="2" t="s">
        <v>63</v>
      </c>
      <c r="F160" s="3" t="e">
        <f>IF(BE160="S",
IF(#REF!+BM160=2018,
IF(#REF!=1,"18-19/1",
IF(#REF!=2,"18-19/2",
IF(#REF!=3,"19-20/1",
IF(#REF!=4,"19-20/2",
IF(#REF!=5,"20-21/1",
IF(#REF!=6,"20-21/2",
IF(#REF!=7,"21-22/1",
IF(#REF!=8,"21-22/2","Hata1")))))))),
IF(#REF!+BM160=2019,
IF(#REF!=1,"19-20/1",
IF(#REF!=2,"19-20/2",
IF(#REF!=3,"20-21/1",
IF(#REF!=4,"20-21/2",
IF(#REF!=5,"21-22/1",
IF(#REF!=6,"21-22/2",
IF(#REF!=7,"22-23/1",
IF(#REF!=8,"22-23/2","Hata2")))))))),
IF(#REF!+BM160=2020,
IF(#REF!=1,"20-21/1",
IF(#REF!=2,"20-21/2",
IF(#REF!=3,"21-22/1",
IF(#REF!=4,"21-22/2",
IF(#REF!=5,"22-23/1",
IF(#REF!=6,"22-23/2",
IF(#REF!=7,"23-24/1",
IF(#REF!=8,"23-24/2","Hata3")))))))),
IF(#REF!+BM160=2021,
IF(#REF!=1,"21-22/1",
IF(#REF!=2,"21-22/2",
IF(#REF!=3,"22-23/1",
IF(#REF!=4,"22-23/2",
IF(#REF!=5,"23-24/1",
IF(#REF!=6,"23-24/2",
IF(#REF!=7,"24-25/1",
IF(#REF!=8,"24-25/2","Hata4")))))))),
IF(#REF!+BM160=2022,
IF(#REF!=1,"22-23/1",
IF(#REF!=2,"22-23/2",
IF(#REF!=3,"23-24/1",
IF(#REF!=4,"23-24/2",
IF(#REF!=5,"24-25/1",
IF(#REF!=6,"24-25/2",
IF(#REF!=7,"25-26/1",
IF(#REF!=8,"25-26/2","Hata5")))))))),
IF(#REF!+BM160=2023,
IF(#REF!=1,"23-24/1",
IF(#REF!=2,"23-24/2",
IF(#REF!=3,"24-25/1",
IF(#REF!=4,"24-25/2",
IF(#REF!=5,"25-26/1",
IF(#REF!=6,"25-26/2",
IF(#REF!=7,"26-27/1",
IF(#REF!=8,"26-27/2","Hata6")))))))),
)))))),
IF(BE160="T",
IF(#REF!+BM160=2018,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0" s="1" t="s">
        <v>75</v>
      </c>
      <c r="J160" s="1">
        <v>4234776</v>
      </c>
      <c r="N160" s="2">
        <v>5</v>
      </c>
      <c r="O160" s="6">
        <f t="shared" si="81"/>
        <v>3</v>
      </c>
      <c r="P160" s="2">
        <f t="shared" si="82"/>
        <v>3</v>
      </c>
      <c r="Q160" s="2">
        <v>3</v>
      </c>
      <c r="R160" s="2">
        <v>0</v>
      </c>
      <c r="S160" s="2">
        <v>0</v>
      </c>
      <c r="X160" s="3">
        <v>3</v>
      </c>
      <c r="Y160" s="1">
        <f>VLOOKUP(X160,[20]ölçme_sistemleri!I:L,2,FALSE)</f>
        <v>2</v>
      </c>
      <c r="Z160" s="1">
        <f>VLOOKUP(X160,[20]ölçme_sistemleri!I:L,3,FALSE)</f>
        <v>1</v>
      </c>
      <c r="AA160" s="1">
        <f>VLOOKUP(X160,[20]ölçme_sistemleri!I:L,4,FALSE)</f>
        <v>1</v>
      </c>
      <c r="AB160" s="1">
        <f>$O160*[20]ölçme_sistemleri!J$13</f>
        <v>3</v>
      </c>
      <c r="AC160" s="1">
        <f>$O160*[20]ölçme_sistemleri!K$13</f>
        <v>6</v>
      </c>
      <c r="AD160" s="1">
        <f>$O160*[20]ölçme_sistemleri!L$13</f>
        <v>9</v>
      </c>
      <c r="AE160" s="1">
        <f t="shared" si="83"/>
        <v>6</v>
      </c>
      <c r="AF160" s="1">
        <f t="shared" si="84"/>
        <v>6</v>
      </c>
      <c r="AG160" s="1">
        <f t="shared" si="85"/>
        <v>9</v>
      </c>
      <c r="AH160" s="1">
        <f t="shared" si="86"/>
        <v>21</v>
      </c>
      <c r="AI160" s="1">
        <v>14</v>
      </c>
      <c r="AJ160" s="1">
        <f>VLOOKUP(X160,[20]ölçme_sistemleri!I:M,5,FALSE)</f>
        <v>3</v>
      </c>
      <c r="AK160" s="1">
        <f t="shared" si="87"/>
        <v>294</v>
      </c>
      <c r="AL160" s="1">
        <f t="shared" si="110"/>
        <v>42</v>
      </c>
      <c r="AM160" s="1">
        <f>VLOOKUP(X160,[20]ölçme_sistemleri!I:N,6,FALSE)</f>
        <v>4</v>
      </c>
      <c r="AN160" s="1">
        <v>2</v>
      </c>
      <c r="AO160" s="1">
        <f t="shared" si="88"/>
        <v>8</v>
      </c>
      <c r="AP160" s="1">
        <v>14</v>
      </c>
      <c r="AQ160" s="1">
        <f t="shared" si="105"/>
        <v>42</v>
      </c>
      <c r="AR160" s="1">
        <f t="shared" si="89"/>
        <v>113</v>
      </c>
      <c r="AS160" s="1">
        <f t="shared" si="109"/>
        <v>25</v>
      </c>
      <c r="AT160" s="1">
        <f t="shared" si="90"/>
        <v>5</v>
      </c>
      <c r="AU160" s="1">
        <f t="shared" si="106"/>
        <v>0</v>
      </c>
      <c r="AV160" s="1">
        <f t="shared" si="111"/>
        <v>0</v>
      </c>
      <c r="AW160" s="1">
        <f t="shared" si="112"/>
        <v>0</v>
      </c>
      <c r="AX160" s="1">
        <f t="shared" si="113"/>
        <v>0</v>
      </c>
      <c r="AY160" s="1">
        <f t="shared" si="91"/>
        <v>-21</v>
      </c>
      <c r="AZ160" s="1">
        <f t="shared" si="114"/>
        <v>0</v>
      </c>
      <c r="BA160" s="1">
        <f t="shared" si="92"/>
        <v>-42</v>
      </c>
      <c r="BB160" s="1">
        <f t="shared" si="115"/>
        <v>0</v>
      </c>
      <c r="BC160" s="1">
        <f t="shared" si="93"/>
        <v>-8</v>
      </c>
      <c r="BD160" s="1">
        <f t="shared" si="94"/>
        <v>0</v>
      </c>
      <c r="BE160" s="1" t="s">
        <v>65</v>
      </c>
      <c r="BF160" s="1">
        <f t="shared" si="116"/>
        <v>42</v>
      </c>
      <c r="BG160" s="1">
        <f t="shared" si="117"/>
        <v>42</v>
      </c>
      <c r="BH160" s="1">
        <f t="shared" si="95"/>
        <v>1</v>
      </c>
      <c r="BI160" s="1" t="e">
        <f>IF(BH160-#REF!=0,"DOĞRU","YANLIŞ")</f>
        <v>#REF!</v>
      </c>
      <c r="BJ160" s="1" t="e">
        <f>#REF!-BH160</f>
        <v>#REF!</v>
      </c>
      <c r="BK160" s="1">
        <v>1</v>
      </c>
      <c r="BM160" s="1">
        <v>1</v>
      </c>
      <c r="BO160" s="1">
        <v>4</v>
      </c>
      <c r="BT160" s="8">
        <f t="shared" si="107"/>
        <v>0</v>
      </c>
      <c r="BU160" s="9"/>
      <c r="BV160" s="10"/>
      <c r="BW160" s="11"/>
      <c r="BX160" s="11"/>
      <c r="BY160" s="11"/>
      <c r="BZ160" s="11"/>
      <c r="CA160" s="11"/>
      <c r="CB160" s="12"/>
      <c r="CC160" s="13"/>
      <c r="CD160" s="14"/>
      <c r="CL160" s="11"/>
      <c r="CM160" s="11"/>
      <c r="CN160" s="11"/>
      <c r="CO160" s="11"/>
      <c r="CP160" s="11"/>
      <c r="CQ160" s="49"/>
      <c r="CR160" s="46"/>
      <c r="CS160" s="54"/>
      <c r="CT160" s="48"/>
      <c r="CU160" s="48"/>
      <c r="CV160" s="48"/>
      <c r="CW160" s="49"/>
      <c r="CX160" s="49"/>
    </row>
    <row r="161" spans="1:103" hidden="1" x14ac:dyDescent="0.25">
      <c r="A161" s="1" t="s">
        <v>374</v>
      </c>
      <c r="B161" s="1" t="s">
        <v>375</v>
      </c>
      <c r="C161" s="1" t="s">
        <v>375</v>
      </c>
      <c r="D161" s="2" t="s">
        <v>63</v>
      </c>
      <c r="E161" s="2" t="s">
        <v>63</v>
      </c>
      <c r="F161" s="3" t="e">
        <f>IF(BE161="S",
IF(#REF!+BM161=2018,
IF(#REF!=1,"18-19/1",
IF(#REF!=2,"18-19/2",
IF(#REF!=3,"19-20/1",
IF(#REF!=4,"19-20/2",
IF(#REF!=5,"20-21/1",
IF(#REF!=6,"20-21/2",
IF(#REF!=7,"21-22/1",
IF(#REF!=8,"21-22/2","Hata1")))))))),
IF(#REF!+BM161=2019,
IF(#REF!=1,"19-20/1",
IF(#REF!=2,"19-20/2",
IF(#REF!=3,"20-21/1",
IF(#REF!=4,"20-21/2",
IF(#REF!=5,"21-22/1",
IF(#REF!=6,"21-22/2",
IF(#REF!=7,"22-23/1",
IF(#REF!=8,"22-23/2","Hata2")))))))),
IF(#REF!+BM161=2020,
IF(#REF!=1,"20-21/1",
IF(#REF!=2,"20-21/2",
IF(#REF!=3,"21-22/1",
IF(#REF!=4,"21-22/2",
IF(#REF!=5,"22-23/1",
IF(#REF!=6,"22-23/2",
IF(#REF!=7,"23-24/1",
IF(#REF!=8,"23-24/2","Hata3")))))))),
IF(#REF!+BM161=2021,
IF(#REF!=1,"21-22/1",
IF(#REF!=2,"21-22/2",
IF(#REF!=3,"22-23/1",
IF(#REF!=4,"22-23/2",
IF(#REF!=5,"23-24/1",
IF(#REF!=6,"23-24/2",
IF(#REF!=7,"24-25/1",
IF(#REF!=8,"24-25/2","Hata4")))))))),
IF(#REF!+BM161=2022,
IF(#REF!=1,"22-23/1",
IF(#REF!=2,"22-23/2",
IF(#REF!=3,"23-24/1",
IF(#REF!=4,"23-24/2",
IF(#REF!=5,"24-25/1",
IF(#REF!=6,"24-25/2",
IF(#REF!=7,"25-26/1",
IF(#REF!=8,"25-26/2","Hata5")))))))),
IF(#REF!+BM161=2023,
IF(#REF!=1,"23-24/1",
IF(#REF!=2,"23-24/2",
IF(#REF!=3,"24-25/1",
IF(#REF!=4,"24-25/2",
IF(#REF!=5,"25-26/1",
IF(#REF!=6,"25-26/2",
IF(#REF!=7,"26-27/1",
IF(#REF!=8,"26-27/2","Hata6")))))))),
)))))),
IF(BE161="T",
IF(#REF!+BM161=2018,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1" s="1" t="s">
        <v>75</v>
      </c>
      <c r="J161" s="1">
        <v>4234776</v>
      </c>
      <c r="L161" s="2">
        <v>1214</v>
      </c>
      <c r="N161" s="2">
        <v>5</v>
      </c>
      <c r="O161" s="6">
        <f t="shared" si="81"/>
        <v>3</v>
      </c>
      <c r="P161" s="2">
        <f t="shared" si="82"/>
        <v>3</v>
      </c>
      <c r="Q161" s="2">
        <v>3</v>
      </c>
      <c r="R161" s="2">
        <v>0</v>
      </c>
      <c r="S161" s="2">
        <v>0</v>
      </c>
      <c r="X161" s="3">
        <v>3</v>
      </c>
      <c r="Y161" s="1">
        <f>VLOOKUP(X161,[20]ölçme_sistemleri!I:L,2,FALSE)</f>
        <v>2</v>
      </c>
      <c r="Z161" s="1">
        <f>VLOOKUP(X161,[20]ölçme_sistemleri!I:L,3,FALSE)</f>
        <v>1</v>
      </c>
      <c r="AA161" s="1">
        <f>VLOOKUP(X161,[20]ölçme_sistemleri!I:L,4,FALSE)</f>
        <v>1</v>
      </c>
      <c r="AB161" s="1">
        <f>$O161*[20]ölçme_sistemleri!J$13</f>
        <v>3</v>
      </c>
      <c r="AC161" s="1">
        <f>$O161*[20]ölçme_sistemleri!K$13</f>
        <v>6</v>
      </c>
      <c r="AD161" s="1">
        <f>$O161*[20]ölçme_sistemleri!L$13</f>
        <v>9</v>
      </c>
      <c r="AE161" s="1">
        <f t="shared" si="83"/>
        <v>6</v>
      </c>
      <c r="AF161" s="1">
        <f t="shared" si="84"/>
        <v>6</v>
      </c>
      <c r="AG161" s="1">
        <f t="shared" si="85"/>
        <v>9</v>
      </c>
      <c r="AH161" s="1">
        <f t="shared" si="86"/>
        <v>21</v>
      </c>
      <c r="AI161" s="1">
        <v>14</v>
      </c>
      <c r="AJ161" s="1">
        <f>VLOOKUP(X161,[20]ölçme_sistemleri!I:M,5,FALSE)</f>
        <v>3</v>
      </c>
      <c r="AK161" s="1">
        <f t="shared" si="87"/>
        <v>294</v>
      </c>
      <c r="AL161" s="1">
        <f t="shared" si="110"/>
        <v>42</v>
      </c>
      <c r="AM161" s="1">
        <f>VLOOKUP(X161,[20]ölçme_sistemleri!I:N,6,FALSE)</f>
        <v>4</v>
      </c>
      <c r="AN161" s="1">
        <v>2</v>
      </c>
      <c r="AO161" s="1">
        <f t="shared" si="88"/>
        <v>8</v>
      </c>
      <c r="AP161" s="1">
        <v>14</v>
      </c>
      <c r="AQ161" s="1">
        <f t="shared" si="105"/>
        <v>42</v>
      </c>
      <c r="AR161" s="1">
        <f t="shared" si="89"/>
        <v>113</v>
      </c>
      <c r="AS161" s="1">
        <f t="shared" si="109"/>
        <v>25</v>
      </c>
      <c r="AT161" s="1">
        <f t="shared" si="90"/>
        <v>5</v>
      </c>
      <c r="AU161" s="1">
        <f t="shared" si="106"/>
        <v>0</v>
      </c>
      <c r="AV161" s="1">
        <f t="shared" si="111"/>
        <v>0</v>
      </c>
      <c r="AW161" s="1">
        <f t="shared" si="112"/>
        <v>0</v>
      </c>
      <c r="AX161" s="1">
        <f t="shared" si="113"/>
        <v>0</v>
      </c>
      <c r="AY161" s="1">
        <f t="shared" si="91"/>
        <v>-21</v>
      </c>
      <c r="AZ161" s="1">
        <f t="shared" si="114"/>
        <v>0</v>
      </c>
      <c r="BA161" s="1">
        <f t="shared" si="92"/>
        <v>-42</v>
      </c>
      <c r="BB161" s="1">
        <f t="shared" si="115"/>
        <v>0</v>
      </c>
      <c r="BC161" s="1">
        <f t="shared" si="93"/>
        <v>-8</v>
      </c>
      <c r="BD161" s="1">
        <f t="shared" si="94"/>
        <v>0</v>
      </c>
      <c r="BE161" s="1" t="s">
        <v>65</v>
      </c>
      <c r="BF161" s="1">
        <f t="shared" si="116"/>
        <v>42</v>
      </c>
      <c r="BG161" s="1">
        <f t="shared" si="117"/>
        <v>42</v>
      </c>
      <c r="BH161" s="1">
        <f t="shared" si="95"/>
        <v>1</v>
      </c>
      <c r="BI161" s="1" t="e">
        <f>IF(BH161-#REF!=0,"DOĞRU","YANLIŞ")</f>
        <v>#REF!</v>
      </c>
      <c r="BJ161" s="1" t="e">
        <f>#REF!-BH161</f>
        <v>#REF!</v>
      </c>
      <c r="BK161" s="1">
        <v>1</v>
      </c>
      <c r="BM161" s="1">
        <v>0</v>
      </c>
      <c r="BO161" s="1">
        <v>2</v>
      </c>
      <c r="BT161" s="8">
        <f t="shared" si="107"/>
        <v>0</v>
      </c>
      <c r="BU161" s="9"/>
      <c r="BV161" s="10"/>
      <c r="BW161" s="11"/>
      <c r="BX161" s="11"/>
      <c r="BY161" s="11"/>
      <c r="BZ161" s="11"/>
      <c r="CA161" s="11"/>
      <c r="CB161" s="12"/>
      <c r="CC161" s="13"/>
      <c r="CD161" s="14"/>
      <c r="CL161" s="11"/>
      <c r="CM161" s="11"/>
      <c r="CN161" s="11"/>
      <c r="CO161" s="11"/>
      <c r="CP161" s="11"/>
      <c r="CQ161" s="49"/>
      <c r="CR161" s="46"/>
      <c r="CS161" s="54"/>
      <c r="CT161" s="48"/>
      <c r="CU161" s="48"/>
      <c r="CV161" s="48"/>
      <c r="CW161" s="49"/>
      <c r="CX161" s="49"/>
    </row>
    <row r="162" spans="1:103" hidden="1" x14ac:dyDescent="0.25">
      <c r="A162" s="1" t="s">
        <v>467</v>
      </c>
      <c r="B162" s="1" t="s">
        <v>209</v>
      </c>
      <c r="C162" s="1" t="s">
        <v>209</v>
      </c>
      <c r="D162" s="2" t="s">
        <v>63</v>
      </c>
      <c r="E162" s="2" t="s">
        <v>63</v>
      </c>
      <c r="F162" s="3" t="e">
        <f>IF(BE162="S",
IF(#REF!+BM162=2018,
IF(#REF!=1,"18-19/1",
IF(#REF!=2,"18-19/2",
IF(#REF!=3,"19-20/1",
IF(#REF!=4,"19-20/2",
IF(#REF!=5,"20-21/1",
IF(#REF!=6,"20-21/2",
IF(#REF!=7,"21-22/1",
IF(#REF!=8,"21-22/2","Hata1")))))))),
IF(#REF!+BM162=2019,
IF(#REF!=1,"19-20/1",
IF(#REF!=2,"19-20/2",
IF(#REF!=3,"20-21/1",
IF(#REF!=4,"20-21/2",
IF(#REF!=5,"21-22/1",
IF(#REF!=6,"21-22/2",
IF(#REF!=7,"22-23/1",
IF(#REF!=8,"22-23/2","Hata2")))))))),
IF(#REF!+BM162=2020,
IF(#REF!=1,"20-21/1",
IF(#REF!=2,"20-21/2",
IF(#REF!=3,"21-22/1",
IF(#REF!=4,"21-22/2",
IF(#REF!=5,"22-23/1",
IF(#REF!=6,"22-23/2",
IF(#REF!=7,"23-24/1",
IF(#REF!=8,"23-24/2","Hata3")))))))),
IF(#REF!+BM162=2021,
IF(#REF!=1,"21-22/1",
IF(#REF!=2,"21-22/2",
IF(#REF!=3,"22-23/1",
IF(#REF!=4,"22-23/2",
IF(#REF!=5,"23-24/1",
IF(#REF!=6,"23-24/2",
IF(#REF!=7,"24-25/1",
IF(#REF!=8,"24-25/2","Hata4")))))))),
IF(#REF!+BM162=2022,
IF(#REF!=1,"22-23/1",
IF(#REF!=2,"22-23/2",
IF(#REF!=3,"23-24/1",
IF(#REF!=4,"23-24/2",
IF(#REF!=5,"24-25/1",
IF(#REF!=6,"24-25/2",
IF(#REF!=7,"25-26/1",
IF(#REF!=8,"25-26/2","Hata5")))))))),
IF(#REF!+BM162=2023,
IF(#REF!=1,"23-24/1",
IF(#REF!=2,"23-24/2",
IF(#REF!=3,"24-25/1",
IF(#REF!=4,"24-25/2",
IF(#REF!=5,"25-26/1",
IF(#REF!=6,"25-26/2",
IF(#REF!=7,"26-27/1",
IF(#REF!=8,"26-27/2","Hata6")))))))),
)))))),
IF(BE162="T",
IF(#REF!+BM162=2018,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2" s="1" t="s">
        <v>75</v>
      </c>
      <c r="J162" s="1">
        <v>4234776</v>
      </c>
      <c r="L162" s="2">
        <v>3548</v>
      </c>
      <c r="N162" s="2">
        <v>5</v>
      </c>
      <c r="O162" s="6">
        <f t="shared" si="81"/>
        <v>3</v>
      </c>
      <c r="P162" s="2">
        <f t="shared" si="82"/>
        <v>3</v>
      </c>
      <c r="Q162" s="2">
        <v>0</v>
      </c>
      <c r="R162" s="2">
        <v>0</v>
      </c>
      <c r="S162" s="2">
        <v>3</v>
      </c>
      <c r="X162" s="3">
        <v>3</v>
      </c>
      <c r="Y162" s="1">
        <f>VLOOKUP(X162,[20]ölçme_sistemleri!I:L,2,FALSE)</f>
        <v>2</v>
      </c>
      <c r="Z162" s="1">
        <f>VLOOKUP(X162,[20]ölçme_sistemleri!I:L,3,FALSE)</f>
        <v>1</v>
      </c>
      <c r="AA162" s="1">
        <f>VLOOKUP(X162,[20]ölçme_sistemleri!I:L,4,FALSE)</f>
        <v>1</v>
      </c>
      <c r="AB162" s="1">
        <f>$O162*[20]ölçme_sistemleri!J$13</f>
        <v>3</v>
      </c>
      <c r="AC162" s="1">
        <f>$O162*[20]ölçme_sistemleri!K$13</f>
        <v>6</v>
      </c>
      <c r="AD162" s="1">
        <f>$O162*[20]ölçme_sistemleri!L$13</f>
        <v>9</v>
      </c>
      <c r="AE162" s="1">
        <f t="shared" si="83"/>
        <v>6</v>
      </c>
      <c r="AF162" s="1">
        <f t="shared" si="84"/>
        <v>6</v>
      </c>
      <c r="AG162" s="1">
        <f t="shared" si="85"/>
        <v>9</v>
      </c>
      <c r="AH162" s="1">
        <f t="shared" si="86"/>
        <v>21</v>
      </c>
      <c r="AI162" s="1">
        <v>14</v>
      </c>
      <c r="AJ162" s="1">
        <f>VLOOKUP(X162,[20]ölçme_sistemleri!I:M,5,FALSE)</f>
        <v>3</v>
      </c>
      <c r="AK162" s="1">
        <f t="shared" si="87"/>
        <v>294</v>
      </c>
      <c r="AL162" s="1">
        <f t="shared" si="110"/>
        <v>42</v>
      </c>
      <c r="AM162" s="1">
        <f>VLOOKUP(X162,[20]ölçme_sistemleri!I:N,6,FALSE)</f>
        <v>4</v>
      </c>
      <c r="AN162" s="1">
        <v>2</v>
      </c>
      <c r="AO162" s="1">
        <f t="shared" si="88"/>
        <v>8</v>
      </c>
      <c r="AP162" s="1">
        <v>14</v>
      </c>
      <c r="AQ162" s="1">
        <f t="shared" si="105"/>
        <v>42</v>
      </c>
      <c r="AR162" s="1">
        <f t="shared" si="89"/>
        <v>113</v>
      </c>
      <c r="AS162" s="1">
        <f t="shared" si="109"/>
        <v>25</v>
      </c>
      <c r="AT162" s="1">
        <f t="shared" si="90"/>
        <v>5</v>
      </c>
      <c r="AU162" s="1">
        <f t="shared" si="106"/>
        <v>0</v>
      </c>
      <c r="AV162" s="1">
        <f t="shared" si="111"/>
        <v>0</v>
      </c>
      <c r="AW162" s="1">
        <f t="shared" si="112"/>
        <v>0</v>
      </c>
      <c r="AX162" s="1">
        <f t="shared" si="113"/>
        <v>0</v>
      </c>
      <c r="AY162" s="1">
        <f t="shared" si="91"/>
        <v>-21</v>
      </c>
      <c r="AZ162" s="1">
        <f t="shared" si="114"/>
        <v>0</v>
      </c>
      <c r="BA162" s="1">
        <f t="shared" si="92"/>
        <v>-42</v>
      </c>
      <c r="BB162" s="1">
        <f t="shared" si="115"/>
        <v>0</v>
      </c>
      <c r="BC162" s="1">
        <f t="shared" si="93"/>
        <v>-8</v>
      </c>
      <c r="BD162" s="1">
        <f t="shared" si="94"/>
        <v>0</v>
      </c>
      <c r="BE162" s="1" t="s">
        <v>65</v>
      </c>
      <c r="BF162" s="1">
        <f t="shared" si="116"/>
        <v>42</v>
      </c>
      <c r="BG162" s="1">
        <f t="shared" si="117"/>
        <v>42</v>
      </c>
      <c r="BH162" s="1">
        <f t="shared" si="95"/>
        <v>1</v>
      </c>
      <c r="BI162" s="1" t="e">
        <f>IF(BH162-#REF!=0,"DOĞRU","YANLIŞ")</f>
        <v>#REF!</v>
      </c>
      <c r="BJ162" s="1" t="e">
        <f>#REF!-BH162</f>
        <v>#REF!</v>
      </c>
      <c r="BK162" s="1">
        <v>1</v>
      </c>
      <c r="BM162" s="1">
        <v>1</v>
      </c>
      <c r="BO162" s="1">
        <v>4</v>
      </c>
      <c r="BT162" s="8">
        <f t="shared" si="107"/>
        <v>0</v>
      </c>
      <c r="BU162" s="9"/>
      <c r="BV162" s="10"/>
      <c r="BW162" s="11"/>
      <c r="BX162" s="11"/>
      <c r="BY162" s="11"/>
      <c r="BZ162" s="11"/>
      <c r="CA162" s="11"/>
      <c r="CB162" s="12"/>
      <c r="CC162" s="13"/>
      <c r="CD162" s="14"/>
      <c r="CL162" s="11"/>
      <c r="CM162" s="11"/>
      <c r="CN162" s="11"/>
      <c r="CO162" s="11"/>
      <c r="CP162" s="11"/>
      <c r="CQ162" s="49"/>
      <c r="CR162" s="46"/>
      <c r="CS162" s="48"/>
      <c r="CT162" s="48"/>
      <c r="CU162" s="48"/>
      <c r="CV162" s="48"/>
      <c r="CW162" s="49"/>
      <c r="CX162" s="49"/>
    </row>
    <row r="163" spans="1:103" hidden="1" x14ac:dyDescent="0.25">
      <c r="A163" s="1" t="s">
        <v>380</v>
      </c>
      <c r="B163" s="1" t="s">
        <v>381</v>
      </c>
      <c r="C163" s="1" t="s">
        <v>381</v>
      </c>
      <c r="D163" s="2" t="s">
        <v>63</v>
      </c>
      <c r="E163" s="2" t="s">
        <v>63</v>
      </c>
      <c r="F163" s="3" t="e">
        <f>IF(BE163="S",
IF(#REF!+BM163=2018,
IF(#REF!=1,"18-19/1",
IF(#REF!=2,"18-19/2",
IF(#REF!=3,"19-20/1",
IF(#REF!=4,"19-20/2",
IF(#REF!=5,"20-21/1",
IF(#REF!=6,"20-21/2",
IF(#REF!=7,"21-22/1",
IF(#REF!=8,"21-22/2","Hata1")))))))),
IF(#REF!+BM163=2019,
IF(#REF!=1,"19-20/1",
IF(#REF!=2,"19-20/2",
IF(#REF!=3,"20-21/1",
IF(#REF!=4,"20-21/2",
IF(#REF!=5,"21-22/1",
IF(#REF!=6,"21-22/2",
IF(#REF!=7,"22-23/1",
IF(#REF!=8,"22-23/2","Hata2")))))))),
IF(#REF!+BM163=2020,
IF(#REF!=1,"20-21/1",
IF(#REF!=2,"20-21/2",
IF(#REF!=3,"21-22/1",
IF(#REF!=4,"21-22/2",
IF(#REF!=5,"22-23/1",
IF(#REF!=6,"22-23/2",
IF(#REF!=7,"23-24/1",
IF(#REF!=8,"23-24/2","Hata3")))))))),
IF(#REF!+BM163=2021,
IF(#REF!=1,"21-22/1",
IF(#REF!=2,"21-22/2",
IF(#REF!=3,"22-23/1",
IF(#REF!=4,"22-23/2",
IF(#REF!=5,"23-24/1",
IF(#REF!=6,"23-24/2",
IF(#REF!=7,"24-25/1",
IF(#REF!=8,"24-25/2","Hata4")))))))),
IF(#REF!+BM163=2022,
IF(#REF!=1,"22-23/1",
IF(#REF!=2,"22-23/2",
IF(#REF!=3,"23-24/1",
IF(#REF!=4,"23-24/2",
IF(#REF!=5,"24-25/1",
IF(#REF!=6,"24-25/2",
IF(#REF!=7,"25-26/1",
IF(#REF!=8,"25-26/2","Hata5")))))))),
IF(#REF!+BM163=2023,
IF(#REF!=1,"23-24/1",
IF(#REF!=2,"23-24/2",
IF(#REF!=3,"24-25/1",
IF(#REF!=4,"24-25/2",
IF(#REF!=5,"25-26/1",
IF(#REF!=6,"25-26/2",
IF(#REF!=7,"26-27/1",
IF(#REF!=8,"26-27/2","Hata6")))))))),
)))))),
IF(BE163="T",
IF(#REF!+BM163=2018,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3" s="1" t="s">
        <v>75</v>
      </c>
      <c r="J163" s="1">
        <v>4234776</v>
      </c>
      <c r="L163" s="2">
        <v>1218</v>
      </c>
      <c r="N163" s="2">
        <v>5</v>
      </c>
      <c r="O163" s="6">
        <f t="shared" si="81"/>
        <v>3</v>
      </c>
      <c r="P163" s="2">
        <f t="shared" si="82"/>
        <v>3</v>
      </c>
      <c r="Q163" s="2">
        <v>0</v>
      </c>
      <c r="R163" s="2">
        <v>0</v>
      </c>
      <c r="S163" s="2">
        <v>3</v>
      </c>
      <c r="X163" s="3">
        <v>3</v>
      </c>
      <c r="Y163" s="1">
        <f>VLOOKUP(X163,[20]ölçme_sistemleri!I:L,2,FALSE)</f>
        <v>2</v>
      </c>
      <c r="Z163" s="1">
        <f>VLOOKUP(X163,[20]ölçme_sistemleri!I:L,3,FALSE)</f>
        <v>1</v>
      </c>
      <c r="AA163" s="1">
        <f>VLOOKUP(X163,[20]ölçme_sistemleri!I:L,4,FALSE)</f>
        <v>1</v>
      </c>
      <c r="AB163" s="1">
        <f>$O163*[20]ölçme_sistemleri!J$13</f>
        <v>3</v>
      </c>
      <c r="AC163" s="1">
        <f>$O163*[20]ölçme_sistemleri!K$13</f>
        <v>6</v>
      </c>
      <c r="AD163" s="1">
        <f>$O163*[20]ölçme_sistemleri!L$13</f>
        <v>9</v>
      </c>
      <c r="AE163" s="1">
        <f t="shared" si="83"/>
        <v>6</v>
      </c>
      <c r="AF163" s="1">
        <f t="shared" si="84"/>
        <v>6</v>
      </c>
      <c r="AG163" s="1">
        <f t="shared" si="85"/>
        <v>9</v>
      </c>
      <c r="AH163" s="1">
        <f t="shared" si="86"/>
        <v>21</v>
      </c>
      <c r="AI163" s="1">
        <v>14</v>
      </c>
      <c r="AJ163" s="1">
        <f>VLOOKUP(X163,[20]ölçme_sistemleri!I:M,5,FALSE)</f>
        <v>3</v>
      </c>
      <c r="AK163" s="1">
        <f t="shared" si="87"/>
        <v>294</v>
      </c>
      <c r="AL163" s="1">
        <f t="shared" si="110"/>
        <v>42</v>
      </c>
      <c r="AM163" s="1">
        <f>VLOOKUP(X163,[20]ölçme_sistemleri!I:N,6,FALSE)</f>
        <v>4</v>
      </c>
      <c r="AN163" s="1">
        <v>2</v>
      </c>
      <c r="AO163" s="1">
        <f t="shared" si="88"/>
        <v>8</v>
      </c>
      <c r="AP163" s="1">
        <v>14</v>
      </c>
      <c r="AQ163" s="1">
        <f t="shared" si="105"/>
        <v>42</v>
      </c>
      <c r="AR163" s="1">
        <f t="shared" si="89"/>
        <v>113</v>
      </c>
      <c r="AS163" s="1">
        <f t="shared" si="109"/>
        <v>25</v>
      </c>
      <c r="AT163" s="1">
        <f t="shared" si="90"/>
        <v>5</v>
      </c>
      <c r="AU163" s="1">
        <f t="shared" si="106"/>
        <v>0</v>
      </c>
      <c r="AV163" s="1">
        <f t="shared" si="111"/>
        <v>0</v>
      </c>
      <c r="AW163" s="1">
        <f t="shared" si="112"/>
        <v>0</v>
      </c>
      <c r="AX163" s="1">
        <f t="shared" si="113"/>
        <v>0</v>
      </c>
      <c r="AY163" s="1">
        <f t="shared" si="91"/>
        <v>-21</v>
      </c>
      <c r="AZ163" s="1">
        <f t="shared" si="114"/>
        <v>0</v>
      </c>
      <c r="BA163" s="1">
        <f t="shared" si="92"/>
        <v>-42</v>
      </c>
      <c r="BB163" s="1">
        <f t="shared" si="115"/>
        <v>0</v>
      </c>
      <c r="BC163" s="1">
        <f t="shared" si="93"/>
        <v>-8</v>
      </c>
      <c r="BD163" s="1">
        <f t="shared" si="94"/>
        <v>0</v>
      </c>
      <c r="BE163" s="1" t="s">
        <v>65</v>
      </c>
      <c r="BF163" s="1">
        <f t="shared" si="116"/>
        <v>42</v>
      </c>
      <c r="BG163" s="1">
        <f t="shared" si="117"/>
        <v>42</v>
      </c>
      <c r="BH163" s="1">
        <f t="shared" si="95"/>
        <v>1</v>
      </c>
      <c r="BI163" s="1" t="e">
        <f>IF(BH163-#REF!=0,"DOĞRU","YANLIŞ")</f>
        <v>#REF!</v>
      </c>
      <c r="BJ163" s="1" t="e">
        <f>#REF!-BH163</f>
        <v>#REF!</v>
      </c>
      <c r="BK163" s="1">
        <v>1</v>
      </c>
      <c r="BM163" s="1">
        <v>0</v>
      </c>
      <c r="BO163" s="1">
        <v>2</v>
      </c>
      <c r="BT163" s="8">
        <f t="shared" si="107"/>
        <v>0</v>
      </c>
      <c r="BU163" s="9"/>
      <c r="BV163" s="10"/>
      <c r="BW163" s="11"/>
      <c r="BX163" s="11"/>
      <c r="BY163" s="11"/>
      <c r="BZ163" s="11"/>
      <c r="CA163" s="11"/>
      <c r="CB163" s="12"/>
      <c r="CC163" s="13"/>
      <c r="CD163" s="14"/>
      <c r="CL163" s="11"/>
      <c r="CM163" s="11"/>
      <c r="CN163" s="11"/>
      <c r="CO163" s="11"/>
      <c r="CP163" s="11"/>
      <c r="CQ163" s="46"/>
      <c r="CR163" s="46"/>
      <c r="CS163" s="48"/>
      <c r="CT163" s="48"/>
      <c r="CU163" s="48"/>
      <c r="CV163" s="48"/>
      <c r="CW163" s="49"/>
      <c r="CX163" s="49"/>
    </row>
    <row r="164" spans="1:103" hidden="1" x14ac:dyDescent="0.25">
      <c r="A164" s="41" t="s">
        <v>487</v>
      </c>
      <c r="B164" s="1" t="s">
        <v>74</v>
      </c>
      <c r="C164" s="1" t="s">
        <v>74</v>
      </c>
      <c r="D164" s="2" t="s">
        <v>63</v>
      </c>
      <c r="E164" s="2" t="s">
        <v>63</v>
      </c>
      <c r="F164" s="3" t="e">
        <f>IF(BE164="S",
IF(#REF!+BM164=2018,
IF(#REF!=1,"18-19/1",
IF(#REF!=2,"18-19/2",
IF(#REF!=3,"19-20/1",
IF(#REF!=4,"19-20/2",
IF(#REF!=5,"20-21/1",
IF(#REF!=6,"20-21/2",
IF(#REF!=7,"21-22/1",
IF(#REF!=8,"21-22/2","Hata1")))))))),
IF(#REF!+BM164=2019,
IF(#REF!=1,"19-20/1",
IF(#REF!=2,"19-20/2",
IF(#REF!=3,"20-21/1",
IF(#REF!=4,"20-21/2",
IF(#REF!=5,"21-22/1",
IF(#REF!=6,"21-22/2",
IF(#REF!=7,"22-23/1",
IF(#REF!=8,"22-23/2","Hata2")))))))),
IF(#REF!+BM164=2020,
IF(#REF!=1,"20-21/1",
IF(#REF!=2,"20-21/2",
IF(#REF!=3,"21-22/1",
IF(#REF!=4,"21-22/2",
IF(#REF!=5,"22-23/1",
IF(#REF!=6,"22-23/2",
IF(#REF!=7,"23-24/1",
IF(#REF!=8,"23-24/2","Hata3")))))))),
IF(#REF!+BM164=2021,
IF(#REF!=1,"21-22/1",
IF(#REF!=2,"21-22/2",
IF(#REF!=3,"22-23/1",
IF(#REF!=4,"22-23/2",
IF(#REF!=5,"23-24/1",
IF(#REF!=6,"23-24/2",
IF(#REF!=7,"24-25/1",
IF(#REF!=8,"24-25/2","Hata4")))))))),
IF(#REF!+BM164=2022,
IF(#REF!=1,"22-23/1",
IF(#REF!=2,"22-23/2",
IF(#REF!=3,"23-24/1",
IF(#REF!=4,"23-24/2",
IF(#REF!=5,"24-25/1",
IF(#REF!=6,"24-25/2",
IF(#REF!=7,"25-26/1",
IF(#REF!=8,"25-26/2","Hata5")))))))),
IF(#REF!+BM164=2023,
IF(#REF!=1,"23-24/1",
IF(#REF!=2,"23-24/2",
IF(#REF!=3,"24-25/1",
IF(#REF!=4,"24-25/2",
IF(#REF!=5,"25-26/1",
IF(#REF!=6,"25-26/2",
IF(#REF!=7,"26-27/1",
IF(#REF!=8,"26-27/2","Hata6")))))))),
)))))),
IF(BE164="T",
IF(#REF!+BM164=2018,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4" s="1" t="s">
        <v>75</v>
      </c>
      <c r="J164" s="1">
        <v>4234776</v>
      </c>
      <c r="L164" s="2">
        <v>3537</v>
      </c>
      <c r="N164" s="31">
        <v>6</v>
      </c>
      <c r="O164" s="6">
        <f t="shared" si="81"/>
        <v>3</v>
      </c>
      <c r="P164" s="2">
        <f t="shared" si="82"/>
        <v>3</v>
      </c>
      <c r="Q164" s="2">
        <v>3</v>
      </c>
      <c r="R164" s="2">
        <v>0</v>
      </c>
      <c r="S164" s="2">
        <v>0</v>
      </c>
      <c r="X164" s="3">
        <v>2</v>
      </c>
      <c r="Y164" s="1">
        <f>VLOOKUP($X164,[22]ölçme_sistemleri!$I$3:$N$10,2,FALSE)</f>
        <v>0</v>
      </c>
      <c r="Z164" s="1">
        <f>VLOOKUP($X164,[22]ölçme_sistemleri!$I$3:$N$10,3,FALSE)</f>
        <v>2</v>
      </c>
      <c r="AA164" s="1">
        <f>VLOOKUP($X164,[22]ölçme_sistemleri!$I$3:$N$10,4,FALSE)</f>
        <v>1</v>
      </c>
      <c r="AB164" s="1">
        <f>VLOOKUP($BE164,[22]ölçme_sistemleri!$I$13:$L$14,2,FALSE)*$O164</f>
        <v>3</v>
      </c>
      <c r="AC164" s="1">
        <f>VLOOKUP($BE164,[22]ölçme_sistemleri!$I$13:$L$14,3,FALSE)*$O164</f>
        <v>6</v>
      </c>
      <c r="AD164" s="1">
        <f>VLOOKUP($BE164,[22]ölçme_sistemleri!$I$13:$L$14,4,FALSE)*$O164</f>
        <v>9</v>
      </c>
      <c r="AE164" s="1">
        <f t="shared" si="83"/>
        <v>0</v>
      </c>
      <c r="AF164" s="1">
        <f t="shared" si="84"/>
        <v>12</v>
      </c>
      <c r="AG164" s="1">
        <f t="shared" si="85"/>
        <v>9</v>
      </c>
      <c r="AH164" s="1">
        <f t="shared" si="86"/>
        <v>21</v>
      </c>
      <c r="AI164" s="1">
        <v>14</v>
      </c>
      <c r="AJ164" s="1">
        <f>VLOOKUP(Y$2:Y166,[22]ölçme_sistemleri!$I$3:$M$10,5,FALSE)</f>
        <v>0</v>
      </c>
      <c r="AK164" s="1">
        <f t="shared" si="87"/>
        <v>294</v>
      </c>
      <c r="AL164" s="1">
        <f>AI164*4</f>
        <v>56</v>
      </c>
      <c r="AM164" s="1">
        <f>VLOOKUP(Y$2:$Y166,[22]ölçme_sistemleri!$I$3:$N$10,6,FALSE)</f>
        <v>0</v>
      </c>
      <c r="AN164" s="1">
        <v>2</v>
      </c>
      <c r="AO164" s="1">
        <f t="shared" si="88"/>
        <v>0</v>
      </c>
      <c r="AP164" s="1">
        <v>14</v>
      </c>
      <c r="AQ164" s="1">
        <f t="shared" si="105"/>
        <v>42</v>
      </c>
      <c r="AR164" s="1">
        <f t="shared" si="89"/>
        <v>119</v>
      </c>
      <c r="AS164" s="1">
        <f t="shared" si="109"/>
        <v>25</v>
      </c>
      <c r="AT164" s="1">
        <f t="shared" si="90"/>
        <v>5</v>
      </c>
      <c r="AU164" s="1">
        <f t="shared" si="106"/>
        <v>-1</v>
      </c>
      <c r="AV164" s="1">
        <f t="shared" si="111"/>
        <v>0</v>
      </c>
      <c r="AW164" s="1">
        <f t="shared" si="112"/>
        <v>0</v>
      </c>
      <c r="AX164" s="1">
        <f t="shared" si="113"/>
        <v>0</v>
      </c>
      <c r="AY164" s="1">
        <f t="shared" si="91"/>
        <v>-21</v>
      </c>
      <c r="AZ164" s="1">
        <f t="shared" si="114"/>
        <v>0</v>
      </c>
      <c r="BA164" s="1">
        <f t="shared" si="92"/>
        <v>-56</v>
      </c>
      <c r="BB164" s="1">
        <f t="shared" si="115"/>
        <v>0</v>
      </c>
      <c r="BC164" s="1">
        <f t="shared" si="93"/>
        <v>0</v>
      </c>
      <c r="BD164" s="1">
        <f t="shared" si="94"/>
        <v>0</v>
      </c>
      <c r="BE164" s="1" t="s">
        <v>65</v>
      </c>
      <c r="BF164" s="1">
        <f t="shared" si="116"/>
        <v>42</v>
      </c>
      <c r="BG164" s="1">
        <f t="shared" si="117"/>
        <v>42</v>
      </c>
      <c r="BH164" s="1">
        <f t="shared" si="95"/>
        <v>1</v>
      </c>
      <c r="BI164" s="1" t="e">
        <f>IF(BH164-#REF!=0,"DOĞRU","YANLIŞ")</f>
        <v>#REF!</v>
      </c>
      <c r="BJ164" s="1" t="e">
        <f>#REF!-BH164</f>
        <v>#REF!</v>
      </c>
      <c r="BK164" s="1">
        <v>1</v>
      </c>
      <c r="BM164" s="1">
        <v>1</v>
      </c>
      <c r="BO164" s="1">
        <v>2</v>
      </c>
      <c r="BT164" s="8">
        <f t="shared" si="107"/>
        <v>0</v>
      </c>
      <c r="BU164" s="9"/>
      <c r="BV164" s="10"/>
      <c r="BW164" s="11"/>
      <c r="BX164" s="11"/>
      <c r="BY164" s="11"/>
      <c r="BZ164" s="11"/>
      <c r="CA164" s="11"/>
      <c r="CB164" s="12"/>
      <c r="CC164" s="13"/>
      <c r="CD164" s="14"/>
      <c r="CL164" s="11"/>
      <c r="CM164" s="11"/>
      <c r="CN164" s="11"/>
      <c r="CO164" s="11"/>
      <c r="CP164" s="11"/>
      <c r="CQ164" s="49"/>
      <c r="CR164" s="46"/>
      <c r="CS164" s="49"/>
      <c r="CT164" s="48"/>
      <c r="CU164" s="48"/>
      <c r="CV164" s="48"/>
      <c r="CW164" s="49"/>
      <c r="CX164" s="49"/>
    </row>
    <row r="165" spans="1:103" hidden="1" x14ac:dyDescent="0.25">
      <c r="A165" s="1" t="s">
        <v>382</v>
      </c>
      <c r="B165" s="44" t="s">
        <v>383</v>
      </c>
      <c r="C165" s="1" t="s">
        <v>383</v>
      </c>
      <c r="D165" s="2" t="s">
        <v>58</v>
      </c>
      <c r="E165" s="2" t="s">
        <v>58</v>
      </c>
      <c r="F165" s="3" t="e">
        <f>IF(BE165="S",
IF(#REF!+BM165=2018,
IF(#REF!=1,"18-19/1",
IF(#REF!=2,"18-19/2",
IF(#REF!=3,"19-20/1",
IF(#REF!=4,"19-20/2",
IF(#REF!=5,"20-21/1",
IF(#REF!=6,"20-21/2",
IF(#REF!=7,"21-22/1",
IF(#REF!=8,"21-22/2","Hata1")))))))),
IF(#REF!+BM165=2019,
IF(#REF!=1,"19-20/1",
IF(#REF!=2,"19-20/2",
IF(#REF!=3,"20-21/1",
IF(#REF!=4,"20-21/2",
IF(#REF!=5,"21-22/1",
IF(#REF!=6,"21-22/2",
IF(#REF!=7,"22-23/1",
IF(#REF!=8,"22-23/2","Hata2")))))))),
IF(#REF!+BM165=2020,
IF(#REF!=1,"20-21/1",
IF(#REF!=2,"20-21/2",
IF(#REF!=3,"21-22/1",
IF(#REF!=4,"21-22/2",
IF(#REF!=5,"22-23/1",
IF(#REF!=6,"22-23/2",
IF(#REF!=7,"23-24/1",
IF(#REF!=8,"23-24/2","Hata3")))))))),
IF(#REF!+BM165=2021,
IF(#REF!=1,"21-22/1",
IF(#REF!=2,"21-22/2",
IF(#REF!=3,"22-23/1",
IF(#REF!=4,"22-23/2",
IF(#REF!=5,"23-24/1",
IF(#REF!=6,"23-24/2",
IF(#REF!=7,"24-25/1",
IF(#REF!=8,"24-25/2","Hata4")))))))),
IF(#REF!+BM165=2022,
IF(#REF!=1,"22-23/1",
IF(#REF!=2,"22-23/2",
IF(#REF!=3,"23-24/1",
IF(#REF!=4,"23-24/2",
IF(#REF!=5,"24-25/1",
IF(#REF!=6,"24-25/2",
IF(#REF!=7,"25-26/1",
IF(#REF!=8,"25-26/2","Hata5")))))))),
IF(#REF!+BM165=2023,
IF(#REF!=1,"23-24/1",
IF(#REF!=2,"23-24/2",
IF(#REF!=3,"24-25/1",
IF(#REF!=4,"24-25/2",
IF(#REF!=5,"25-26/1",
IF(#REF!=6,"25-26/2",
IF(#REF!=7,"26-27/1",
IF(#REF!=8,"26-27/2","Hata6")))))))),
)))))),
IF(BE165="T",
IF(#REF!+BM165=2018,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5" s="1" t="s">
        <v>75</v>
      </c>
      <c r="J165" s="1">
        <v>4234776</v>
      </c>
      <c r="L165" s="2">
        <v>1601</v>
      </c>
      <c r="N165" s="2">
        <v>5</v>
      </c>
      <c r="O165" s="6">
        <f t="shared" si="81"/>
        <v>3</v>
      </c>
      <c r="P165" s="2">
        <f t="shared" si="82"/>
        <v>3</v>
      </c>
      <c r="Q165" s="2">
        <v>0</v>
      </c>
      <c r="R165" s="2">
        <v>0</v>
      </c>
      <c r="S165" s="2">
        <v>3</v>
      </c>
      <c r="X165" s="3">
        <v>3</v>
      </c>
      <c r="Y165" s="1">
        <f>VLOOKUP(X165,[20]ölçme_sistemleri!I:L,2,FALSE)</f>
        <v>2</v>
      </c>
      <c r="Z165" s="1">
        <f>VLOOKUP(X165,[20]ölçme_sistemleri!I:L,3,FALSE)</f>
        <v>1</v>
      </c>
      <c r="AA165" s="1">
        <f>VLOOKUP(X165,[20]ölçme_sistemleri!I:L,4,FALSE)</f>
        <v>1</v>
      </c>
      <c r="AB165" s="1">
        <f>$O165*[20]ölçme_sistemleri!J$13</f>
        <v>3</v>
      </c>
      <c r="AC165" s="1">
        <f>$O165*[20]ölçme_sistemleri!K$13</f>
        <v>6</v>
      </c>
      <c r="AD165" s="1">
        <f>$O165*[20]ölçme_sistemleri!L$13</f>
        <v>9</v>
      </c>
      <c r="AE165" s="1">
        <f t="shared" si="83"/>
        <v>6</v>
      </c>
      <c r="AF165" s="1">
        <f t="shared" si="84"/>
        <v>6</v>
      </c>
      <c r="AG165" s="1">
        <f t="shared" si="85"/>
        <v>9</v>
      </c>
      <c r="AH165" s="1">
        <f t="shared" si="86"/>
        <v>21</v>
      </c>
      <c r="AI165" s="1">
        <v>14</v>
      </c>
      <c r="AJ165" s="1">
        <f>VLOOKUP(X165,[20]ölçme_sistemleri!I:M,5,FALSE)</f>
        <v>3</v>
      </c>
      <c r="AK165" s="1">
        <f t="shared" si="87"/>
        <v>294</v>
      </c>
      <c r="AL165" s="1">
        <f>(Q165+S165)*AI165</f>
        <v>42</v>
      </c>
      <c r="AM165" s="1">
        <f>VLOOKUP(X165,[20]ölçme_sistemleri!I:N,6,FALSE)</f>
        <v>4</v>
      </c>
      <c r="AN165" s="1">
        <v>2</v>
      </c>
      <c r="AO165" s="1">
        <f t="shared" si="88"/>
        <v>8</v>
      </c>
      <c r="AP165" s="1">
        <v>14</v>
      </c>
      <c r="AQ165" s="1">
        <f t="shared" si="105"/>
        <v>42</v>
      </c>
      <c r="AR165" s="1">
        <f t="shared" si="89"/>
        <v>113</v>
      </c>
      <c r="AS165" s="1">
        <f t="shared" si="109"/>
        <v>25</v>
      </c>
      <c r="AT165" s="1">
        <f t="shared" si="90"/>
        <v>5</v>
      </c>
      <c r="AU165" s="1">
        <f t="shared" si="106"/>
        <v>0</v>
      </c>
      <c r="AV165" s="1">
        <f t="shared" si="111"/>
        <v>0</v>
      </c>
      <c r="AW165" s="1">
        <f t="shared" si="112"/>
        <v>0</v>
      </c>
      <c r="AX165" s="1">
        <f t="shared" si="113"/>
        <v>0</v>
      </c>
      <c r="AY165" s="1">
        <f t="shared" si="91"/>
        <v>-21</v>
      </c>
      <c r="AZ165" s="1">
        <f t="shared" si="114"/>
        <v>0</v>
      </c>
      <c r="BA165" s="1">
        <f t="shared" si="92"/>
        <v>-42</v>
      </c>
      <c r="BB165" s="1">
        <f t="shared" si="115"/>
        <v>0</v>
      </c>
      <c r="BC165" s="1">
        <f t="shared" si="93"/>
        <v>-8</v>
      </c>
      <c r="BD165" s="1">
        <f t="shared" si="94"/>
        <v>0</v>
      </c>
      <c r="BE165" s="1" t="s">
        <v>65</v>
      </c>
      <c r="BF165" s="1">
        <f t="shared" si="116"/>
        <v>42</v>
      </c>
      <c r="BG165" s="1">
        <f t="shared" si="117"/>
        <v>42</v>
      </c>
      <c r="BH165" s="1">
        <f t="shared" si="95"/>
        <v>1</v>
      </c>
      <c r="BI165" s="1" t="e">
        <f>IF(BH165-#REF!=0,"DOĞRU","YANLIŞ")</f>
        <v>#REF!</v>
      </c>
      <c r="BJ165" s="1" t="e">
        <f>#REF!-BH165</f>
        <v>#REF!</v>
      </c>
      <c r="BK165" s="1">
        <v>1</v>
      </c>
      <c r="BM165" s="1">
        <v>0</v>
      </c>
      <c r="BO165" s="1">
        <v>2</v>
      </c>
      <c r="BT165" s="8">
        <f t="shared" si="107"/>
        <v>0</v>
      </c>
      <c r="BU165" s="9"/>
      <c r="BV165" s="10"/>
      <c r="BW165" s="11"/>
      <c r="BX165" s="11"/>
      <c r="BY165" s="11"/>
      <c r="BZ165" s="11"/>
      <c r="CA165" s="11"/>
      <c r="CB165" s="12"/>
      <c r="CC165" s="13"/>
      <c r="CD165" s="14"/>
      <c r="CL165" s="11"/>
      <c r="CM165" s="11"/>
      <c r="CN165" s="11"/>
      <c r="CO165" s="11"/>
      <c r="CP165" s="11"/>
      <c r="CQ165" s="49"/>
      <c r="CR165" s="46"/>
      <c r="CS165" s="49"/>
      <c r="CT165" s="46"/>
      <c r="CU165" s="48"/>
      <c r="CV165" s="48"/>
      <c r="CW165" s="49"/>
      <c r="CX165" s="49"/>
    </row>
    <row r="166" spans="1:103" hidden="1" x14ac:dyDescent="0.25">
      <c r="A166" s="1" t="s">
        <v>466</v>
      </c>
      <c r="B166" s="1" t="s">
        <v>206</v>
      </c>
      <c r="C166" s="1" t="s">
        <v>206</v>
      </c>
      <c r="D166" s="2" t="s">
        <v>63</v>
      </c>
      <c r="E166" s="2" t="s">
        <v>63</v>
      </c>
      <c r="F166" s="3" t="e">
        <f>IF(BE166="S",
IF(#REF!+BM166=2018,
IF(#REF!=1,"18-19/1",
IF(#REF!=2,"18-19/2",
IF(#REF!=3,"19-20/1",
IF(#REF!=4,"19-20/2",
IF(#REF!=5,"20-21/1",
IF(#REF!=6,"20-21/2",
IF(#REF!=7,"21-22/1",
IF(#REF!=8,"21-22/2","Hata1")))))))),
IF(#REF!+BM166=2019,
IF(#REF!=1,"19-20/1",
IF(#REF!=2,"19-20/2",
IF(#REF!=3,"20-21/1",
IF(#REF!=4,"20-21/2",
IF(#REF!=5,"21-22/1",
IF(#REF!=6,"21-22/2",
IF(#REF!=7,"22-23/1",
IF(#REF!=8,"22-23/2","Hata2")))))))),
IF(#REF!+BM166=2020,
IF(#REF!=1,"20-21/1",
IF(#REF!=2,"20-21/2",
IF(#REF!=3,"21-22/1",
IF(#REF!=4,"21-22/2",
IF(#REF!=5,"22-23/1",
IF(#REF!=6,"22-23/2",
IF(#REF!=7,"23-24/1",
IF(#REF!=8,"23-24/2","Hata3")))))))),
IF(#REF!+BM166=2021,
IF(#REF!=1,"21-22/1",
IF(#REF!=2,"21-22/2",
IF(#REF!=3,"22-23/1",
IF(#REF!=4,"22-23/2",
IF(#REF!=5,"23-24/1",
IF(#REF!=6,"23-24/2",
IF(#REF!=7,"24-25/1",
IF(#REF!=8,"24-25/2","Hata4")))))))),
IF(#REF!+BM166=2022,
IF(#REF!=1,"22-23/1",
IF(#REF!=2,"22-23/2",
IF(#REF!=3,"23-24/1",
IF(#REF!=4,"23-24/2",
IF(#REF!=5,"24-25/1",
IF(#REF!=6,"24-25/2",
IF(#REF!=7,"25-26/1",
IF(#REF!=8,"25-26/2","Hata5")))))))),
IF(#REF!+BM166=2023,
IF(#REF!=1,"23-24/1",
IF(#REF!=2,"23-24/2",
IF(#REF!=3,"24-25/1",
IF(#REF!=4,"24-25/2",
IF(#REF!=5,"25-26/1",
IF(#REF!=6,"25-26/2",
IF(#REF!=7,"26-27/1",
IF(#REF!=8,"26-27/2","Hata6")))))))),
)))))),
IF(BE166="T",
IF(#REF!+BM166=2018,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6" s="1" t="s">
        <v>75</v>
      </c>
      <c r="J166" s="1">
        <v>4234776</v>
      </c>
      <c r="L166" s="2">
        <v>3549</v>
      </c>
      <c r="N166" s="2">
        <v>6</v>
      </c>
      <c r="O166" s="6">
        <f t="shared" si="81"/>
        <v>3</v>
      </c>
      <c r="P166" s="2">
        <f t="shared" si="82"/>
        <v>3</v>
      </c>
      <c r="Q166" s="2">
        <v>3</v>
      </c>
      <c r="R166" s="2">
        <v>0</v>
      </c>
      <c r="S166" s="2">
        <v>0</v>
      </c>
      <c r="X166" s="3">
        <v>2</v>
      </c>
      <c r="Y166" s="1">
        <f>VLOOKUP(X166,[20]ölçme_sistemleri!I:L,2,FALSE)</f>
        <v>0</v>
      </c>
      <c r="Z166" s="1">
        <f>VLOOKUP(X166,[20]ölçme_sistemleri!I:L,3,FALSE)</f>
        <v>2</v>
      </c>
      <c r="AA166" s="1">
        <f>VLOOKUP(X166,[20]ölçme_sistemleri!I:L,4,FALSE)</f>
        <v>1</v>
      </c>
      <c r="AB166" s="1">
        <f>$O166*[20]ölçme_sistemleri!J$13</f>
        <v>3</v>
      </c>
      <c r="AC166" s="1">
        <f>$O166*[20]ölçme_sistemleri!K$13</f>
        <v>6</v>
      </c>
      <c r="AD166" s="1">
        <f>$O166*[20]ölçme_sistemleri!L$13</f>
        <v>9</v>
      </c>
      <c r="AE166" s="1">
        <f t="shared" si="83"/>
        <v>0</v>
      </c>
      <c r="AF166" s="1">
        <f t="shared" si="84"/>
        <v>12</v>
      </c>
      <c r="AG166" s="1">
        <f t="shared" si="85"/>
        <v>9</v>
      </c>
      <c r="AH166" s="1">
        <f t="shared" si="86"/>
        <v>21</v>
      </c>
      <c r="AI166" s="1">
        <v>14</v>
      </c>
      <c r="AJ166" s="1">
        <f>VLOOKUP(X166,[20]ölçme_sistemleri!I:M,5,FALSE)</f>
        <v>2</v>
      </c>
      <c r="AK166" s="1">
        <f t="shared" si="87"/>
        <v>294</v>
      </c>
      <c r="AL166" s="1">
        <f>(Q166+S166)*AI166</f>
        <v>42</v>
      </c>
      <c r="AM166" s="1">
        <f>VLOOKUP(X166,[20]ölçme_sistemleri!I:N,6,FALSE)</f>
        <v>3</v>
      </c>
      <c r="AN166" s="1">
        <v>2</v>
      </c>
      <c r="AO166" s="1">
        <f t="shared" si="88"/>
        <v>6</v>
      </c>
      <c r="AP166" s="1">
        <v>14</v>
      </c>
      <c r="AQ166" s="1">
        <f t="shared" si="105"/>
        <v>42</v>
      </c>
      <c r="AR166" s="1">
        <f t="shared" si="89"/>
        <v>111</v>
      </c>
      <c r="AS166" s="1">
        <f t="shared" si="109"/>
        <v>25</v>
      </c>
      <c r="AT166" s="1">
        <f t="shared" si="90"/>
        <v>4</v>
      </c>
      <c r="AU166" s="1">
        <f t="shared" si="106"/>
        <v>-2</v>
      </c>
      <c r="AV166" s="1">
        <f t="shared" si="111"/>
        <v>0</v>
      </c>
      <c r="AW166" s="1">
        <f t="shared" si="112"/>
        <v>0</v>
      </c>
      <c r="AX166" s="1">
        <f t="shared" si="113"/>
        <v>0</v>
      </c>
      <c r="AY166" s="1">
        <f t="shared" si="91"/>
        <v>-21</v>
      </c>
      <c r="AZ166" s="1">
        <f t="shared" si="114"/>
        <v>0</v>
      </c>
      <c r="BA166" s="1">
        <f t="shared" si="92"/>
        <v>-42</v>
      </c>
      <c r="BB166" s="1">
        <f t="shared" si="115"/>
        <v>0</v>
      </c>
      <c r="BC166" s="1">
        <f t="shared" si="93"/>
        <v>-6</v>
      </c>
      <c r="BD166" s="1">
        <f t="shared" si="94"/>
        <v>0</v>
      </c>
      <c r="BE166" s="1" t="s">
        <v>65</v>
      </c>
      <c r="BF166" s="1">
        <f t="shared" si="116"/>
        <v>42</v>
      </c>
      <c r="BG166" s="1">
        <f t="shared" si="117"/>
        <v>42</v>
      </c>
      <c r="BH166" s="1">
        <f t="shared" si="95"/>
        <v>1</v>
      </c>
      <c r="BI166" s="1" t="e">
        <f>IF(BH166-#REF!=0,"DOĞRU","YANLIŞ")</f>
        <v>#REF!</v>
      </c>
      <c r="BJ166" s="1" t="e">
        <f>#REF!-BH166</f>
        <v>#REF!</v>
      </c>
      <c r="BK166" s="1">
        <v>1</v>
      </c>
      <c r="BM166" s="1">
        <v>1</v>
      </c>
      <c r="BO166" s="1">
        <v>4</v>
      </c>
      <c r="BT166" s="8">
        <f t="shared" si="107"/>
        <v>0</v>
      </c>
      <c r="BU166" s="9"/>
      <c r="BV166" s="10"/>
      <c r="BW166" s="11"/>
      <c r="BX166" s="11"/>
      <c r="BY166" s="11"/>
      <c r="BZ166" s="11"/>
      <c r="CA166" s="11"/>
      <c r="CB166" s="12"/>
      <c r="CC166" s="13"/>
      <c r="CD166" s="14"/>
      <c r="CL166" s="11"/>
      <c r="CM166" s="11"/>
      <c r="CN166" s="11"/>
      <c r="CO166" s="11"/>
      <c r="CP166" s="11"/>
      <c r="CQ166" s="54"/>
      <c r="CR166" s="55"/>
      <c r="CS166" s="54"/>
      <c r="CT166" s="46"/>
      <c r="CU166" s="48"/>
      <c r="CV166" s="48"/>
      <c r="CW166" s="49"/>
      <c r="CX166" s="49"/>
    </row>
    <row r="167" spans="1:103" hidden="1" x14ac:dyDescent="0.25">
      <c r="A167" s="1" t="s">
        <v>370</v>
      </c>
      <c r="B167" s="1" t="s">
        <v>371</v>
      </c>
      <c r="C167" s="1" t="s">
        <v>371</v>
      </c>
      <c r="D167" s="2" t="s">
        <v>58</v>
      </c>
      <c r="E167" s="2" t="s">
        <v>58</v>
      </c>
      <c r="F167" s="3" t="e">
        <f>IF(BE167="S",
IF(#REF!+BM167=2018,
IF(#REF!=1,"18-19/1",
IF(#REF!=2,"18-19/2",
IF(#REF!=3,"19-20/1",
IF(#REF!=4,"19-20/2",
IF(#REF!=5,"20-21/1",
IF(#REF!=6,"20-21/2",
IF(#REF!=7,"21-22/1",
IF(#REF!=8,"21-22/2","Hata1")))))))),
IF(#REF!+BM167=2019,
IF(#REF!=1,"19-20/1",
IF(#REF!=2,"19-20/2",
IF(#REF!=3,"20-21/1",
IF(#REF!=4,"20-21/2",
IF(#REF!=5,"21-22/1",
IF(#REF!=6,"21-22/2",
IF(#REF!=7,"22-23/1",
IF(#REF!=8,"22-23/2","Hata2")))))))),
IF(#REF!+BM167=2020,
IF(#REF!=1,"20-21/1",
IF(#REF!=2,"20-21/2",
IF(#REF!=3,"21-22/1",
IF(#REF!=4,"21-22/2",
IF(#REF!=5,"22-23/1",
IF(#REF!=6,"22-23/2",
IF(#REF!=7,"23-24/1",
IF(#REF!=8,"23-24/2","Hata3")))))))),
IF(#REF!+BM167=2021,
IF(#REF!=1,"21-22/1",
IF(#REF!=2,"21-22/2",
IF(#REF!=3,"22-23/1",
IF(#REF!=4,"22-23/2",
IF(#REF!=5,"23-24/1",
IF(#REF!=6,"23-24/2",
IF(#REF!=7,"24-25/1",
IF(#REF!=8,"24-25/2","Hata4")))))))),
IF(#REF!+BM167=2022,
IF(#REF!=1,"22-23/1",
IF(#REF!=2,"22-23/2",
IF(#REF!=3,"23-24/1",
IF(#REF!=4,"23-24/2",
IF(#REF!=5,"24-25/1",
IF(#REF!=6,"24-25/2",
IF(#REF!=7,"25-26/1",
IF(#REF!=8,"25-26/2","Hata5")))))))),
IF(#REF!+BM167=2023,
IF(#REF!=1,"23-24/1",
IF(#REF!=2,"23-24/2",
IF(#REF!=3,"24-25/1",
IF(#REF!=4,"24-25/2",
IF(#REF!=5,"25-26/1",
IF(#REF!=6,"25-26/2",
IF(#REF!=7,"26-27/1",
IF(#REF!=8,"26-27/2","Hata6")))))))),
)))))),
IF(BE167="T",
IF(#REF!+BM167=2018,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7" s="1" t="s">
        <v>75</v>
      </c>
      <c r="J167" s="1">
        <v>4234776</v>
      </c>
      <c r="L167" s="2">
        <v>2333</v>
      </c>
      <c r="N167" s="2">
        <v>4</v>
      </c>
      <c r="O167" s="6">
        <f t="shared" si="81"/>
        <v>3</v>
      </c>
      <c r="P167" s="2">
        <f t="shared" si="82"/>
        <v>3</v>
      </c>
      <c r="Q167" s="2">
        <v>3</v>
      </c>
      <c r="R167" s="2">
        <v>0</v>
      </c>
      <c r="S167" s="2">
        <v>0</v>
      </c>
      <c r="X167" s="3">
        <v>2</v>
      </c>
      <c r="Y167" s="1">
        <f>VLOOKUP(X167,[20]ölçme_sistemleri!I:L,2,FALSE)</f>
        <v>0</v>
      </c>
      <c r="Z167" s="1">
        <f>VLOOKUP(X167,[20]ölçme_sistemleri!I:L,3,FALSE)</f>
        <v>2</v>
      </c>
      <c r="AA167" s="1">
        <f>VLOOKUP(X167,[20]ölçme_sistemleri!I:L,4,FALSE)</f>
        <v>1</v>
      </c>
      <c r="AB167" s="1">
        <f>$O167*[20]ölçme_sistemleri!J$13</f>
        <v>3</v>
      </c>
      <c r="AC167" s="1">
        <f>$O167*[20]ölçme_sistemleri!K$13</f>
        <v>6</v>
      </c>
      <c r="AD167" s="1">
        <f>$O167*[20]ölçme_sistemleri!L$13</f>
        <v>9</v>
      </c>
      <c r="AE167" s="1">
        <f t="shared" si="83"/>
        <v>0</v>
      </c>
      <c r="AF167" s="1">
        <f t="shared" si="84"/>
        <v>12</v>
      </c>
      <c r="AG167" s="1">
        <f t="shared" si="85"/>
        <v>9</v>
      </c>
      <c r="AH167" s="1">
        <f t="shared" si="86"/>
        <v>21</v>
      </c>
      <c r="AI167" s="1">
        <v>14</v>
      </c>
      <c r="AJ167" s="1">
        <f>VLOOKUP(X167,[20]ölçme_sistemleri!I:M,5,FALSE)</f>
        <v>2</v>
      </c>
      <c r="AK167" s="1">
        <f t="shared" si="87"/>
        <v>294</v>
      </c>
      <c r="AL167" s="1">
        <f>(Q167+S167)*AI167</f>
        <v>42</v>
      </c>
      <c r="AM167" s="1">
        <f>VLOOKUP(X167,[20]ölçme_sistemleri!I:N,6,FALSE)</f>
        <v>3</v>
      </c>
      <c r="AN167" s="1">
        <v>2</v>
      </c>
      <c r="AO167" s="1">
        <f t="shared" si="88"/>
        <v>6</v>
      </c>
      <c r="AP167" s="1">
        <v>14</v>
      </c>
      <c r="AQ167" s="1">
        <f t="shared" si="105"/>
        <v>42</v>
      </c>
      <c r="AR167" s="1">
        <f t="shared" si="89"/>
        <v>111</v>
      </c>
      <c r="AS167" s="1">
        <f t="shared" si="109"/>
        <v>25</v>
      </c>
      <c r="AT167" s="1">
        <f t="shared" si="90"/>
        <v>4</v>
      </c>
      <c r="AU167" s="1">
        <f t="shared" si="106"/>
        <v>0</v>
      </c>
      <c r="AV167" s="1">
        <f t="shared" si="111"/>
        <v>0</v>
      </c>
      <c r="AW167" s="1">
        <f t="shared" si="112"/>
        <v>0</v>
      </c>
      <c r="AX167" s="1">
        <f t="shared" si="113"/>
        <v>0</v>
      </c>
      <c r="AY167" s="1">
        <f t="shared" si="91"/>
        <v>-21</v>
      </c>
      <c r="AZ167" s="1">
        <f t="shared" si="114"/>
        <v>0</v>
      </c>
      <c r="BA167" s="1">
        <f t="shared" si="92"/>
        <v>-42</v>
      </c>
      <c r="BB167" s="1">
        <f t="shared" si="115"/>
        <v>0</v>
      </c>
      <c r="BC167" s="1">
        <f t="shared" si="93"/>
        <v>-6</v>
      </c>
      <c r="BD167" s="1">
        <f t="shared" si="94"/>
        <v>0</v>
      </c>
      <c r="BE167" s="1" t="s">
        <v>65</v>
      </c>
      <c r="BF167" s="1">
        <f t="shared" si="116"/>
        <v>42</v>
      </c>
      <c r="BG167" s="1">
        <f t="shared" si="117"/>
        <v>42</v>
      </c>
      <c r="BH167" s="1">
        <f t="shared" si="95"/>
        <v>1</v>
      </c>
      <c r="BI167" s="1" t="e">
        <f>IF(BH167-#REF!=0,"DOĞRU","YANLIŞ")</f>
        <v>#REF!</v>
      </c>
      <c r="BJ167" s="1" t="e">
        <f>#REF!-BH167</f>
        <v>#REF!</v>
      </c>
      <c r="BK167" s="1">
        <v>0</v>
      </c>
      <c r="BM167" s="1">
        <v>0</v>
      </c>
      <c r="BO167" s="1">
        <v>2</v>
      </c>
      <c r="BT167" s="8">
        <f t="shared" ref="BT167:BT198" si="118">R167*14</f>
        <v>0</v>
      </c>
      <c r="BU167" s="9"/>
      <c r="BV167" s="10"/>
      <c r="BW167" s="11"/>
      <c r="BX167" s="11"/>
      <c r="BY167" s="11"/>
      <c r="BZ167" s="11"/>
      <c r="CA167" s="11"/>
      <c r="CB167" s="12"/>
      <c r="CC167" s="13"/>
      <c r="CD167" s="14"/>
      <c r="CL167" s="11"/>
      <c r="CM167" s="11"/>
      <c r="CN167" s="11"/>
      <c r="CO167" s="11"/>
      <c r="CP167" s="11"/>
      <c r="CQ167" s="49"/>
      <c r="CR167" s="46"/>
      <c r="CS167" s="48"/>
      <c r="CT167" s="48"/>
      <c r="CU167" s="48"/>
      <c r="CV167" s="48"/>
      <c r="CW167" s="49"/>
      <c r="CX167" s="49"/>
    </row>
    <row r="168" spans="1:103" hidden="1" x14ac:dyDescent="0.25">
      <c r="A168" s="41" t="s">
        <v>129</v>
      </c>
      <c r="B168" s="1" t="s">
        <v>130</v>
      </c>
      <c r="C168" s="1" t="s">
        <v>130</v>
      </c>
      <c r="D168" s="2" t="s">
        <v>63</v>
      </c>
      <c r="E168" s="2" t="s">
        <v>63</v>
      </c>
      <c r="F168" s="3" t="e">
        <f>IF(BE168="S",
IF(#REF!+BM168=2018,
IF(#REF!=1,"18-19/1",
IF(#REF!=2,"18-19/2",
IF(#REF!=3,"19-20/1",
IF(#REF!=4,"19-20/2",
IF(#REF!=5,"20-21/1",
IF(#REF!=6,"20-21/2",
IF(#REF!=7,"21-22/1",
IF(#REF!=8,"21-22/2","Hata1")))))))),
IF(#REF!+BM168=2019,
IF(#REF!=1,"19-20/1",
IF(#REF!=2,"19-20/2",
IF(#REF!=3,"20-21/1",
IF(#REF!=4,"20-21/2",
IF(#REF!=5,"21-22/1",
IF(#REF!=6,"21-22/2",
IF(#REF!=7,"22-23/1",
IF(#REF!=8,"22-23/2","Hata2")))))))),
IF(#REF!+BM168=2020,
IF(#REF!=1,"20-21/1",
IF(#REF!=2,"20-21/2",
IF(#REF!=3,"21-22/1",
IF(#REF!=4,"21-22/2",
IF(#REF!=5,"22-23/1",
IF(#REF!=6,"22-23/2",
IF(#REF!=7,"23-24/1",
IF(#REF!=8,"23-24/2","Hata3")))))))),
IF(#REF!+BM168=2021,
IF(#REF!=1,"21-22/1",
IF(#REF!=2,"21-22/2",
IF(#REF!=3,"22-23/1",
IF(#REF!=4,"22-23/2",
IF(#REF!=5,"23-24/1",
IF(#REF!=6,"23-24/2",
IF(#REF!=7,"24-25/1",
IF(#REF!=8,"24-25/2","Hata4")))))))),
IF(#REF!+BM168=2022,
IF(#REF!=1,"22-23/1",
IF(#REF!=2,"22-23/2",
IF(#REF!=3,"23-24/1",
IF(#REF!=4,"23-24/2",
IF(#REF!=5,"24-25/1",
IF(#REF!=6,"24-25/2",
IF(#REF!=7,"25-26/1",
IF(#REF!=8,"25-26/2","Hata5")))))))),
IF(#REF!+BM168=2023,
IF(#REF!=1,"23-24/1",
IF(#REF!=2,"23-24/2",
IF(#REF!=3,"24-25/1",
IF(#REF!=4,"24-25/2",
IF(#REF!=5,"25-26/1",
IF(#REF!=6,"25-26/2",
IF(#REF!=7,"26-27/1",
IF(#REF!=8,"26-27/2","Hata6")))))))),
)))))),
IF(BE168="T",
IF(#REF!+BM168=2018,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8" s="1" t="s">
        <v>75</v>
      </c>
      <c r="J168" s="1">
        <v>4234776</v>
      </c>
      <c r="L168" s="31">
        <v>3397</v>
      </c>
      <c r="N168" s="2">
        <v>4</v>
      </c>
      <c r="O168" s="6">
        <f t="shared" si="81"/>
        <v>3</v>
      </c>
      <c r="P168" s="2">
        <f t="shared" si="82"/>
        <v>3</v>
      </c>
      <c r="Q168" s="2">
        <v>0</v>
      </c>
      <c r="R168" s="2">
        <v>0</v>
      </c>
      <c r="S168" s="31">
        <v>3</v>
      </c>
      <c r="X168" s="3">
        <v>2</v>
      </c>
      <c r="Y168" s="1">
        <f>VLOOKUP($X168,[22]ölçme_sistemleri!$I$3:$N$10,2,FALSE)</f>
        <v>0</v>
      </c>
      <c r="Z168" s="1">
        <f>VLOOKUP($X168,[22]ölçme_sistemleri!$I$3:$N$10,3,FALSE)</f>
        <v>2</v>
      </c>
      <c r="AA168" s="1">
        <f>VLOOKUP($X168,[22]ölçme_sistemleri!$I$3:$N$10,4,FALSE)</f>
        <v>1</v>
      </c>
      <c r="AB168" s="1">
        <f>VLOOKUP($BE168,[22]ölçme_sistemleri!$I$13:$L$14,2,FALSE)*$O168</f>
        <v>3</v>
      </c>
      <c r="AC168" s="1">
        <f>VLOOKUP($BE168,[22]ölçme_sistemleri!$I$13:$L$14,3,FALSE)*$O168</f>
        <v>6</v>
      </c>
      <c r="AD168" s="1">
        <f>VLOOKUP($BE168,[22]ölçme_sistemleri!$I$13:$L$14,4,FALSE)*$O168</f>
        <v>9</v>
      </c>
      <c r="AE168" s="1">
        <f t="shared" si="83"/>
        <v>0</v>
      </c>
      <c r="AF168" s="1">
        <f t="shared" si="84"/>
        <v>12</v>
      </c>
      <c r="AG168" s="1">
        <f t="shared" si="85"/>
        <v>9</v>
      </c>
      <c r="AH168" s="1">
        <f t="shared" si="86"/>
        <v>21</v>
      </c>
      <c r="AI168" s="1">
        <v>14</v>
      </c>
      <c r="AJ168" s="1">
        <f>VLOOKUP(S$2:S169,[22]ölçme_sistemleri!$I$3:$M$10,5,FALSE)</f>
        <v>3</v>
      </c>
      <c r="AK168" s="1">
        <f t="shared" si="87"/>
        <v>294</v>
      </c>
      <c r="AL168" s="1">
        <f>(Q168+S168)*AI168</f>
        <v>42</v>
      </c>
      <c r="AM168" s="1">
        <f>VLOOKUP(S$9:$S169,[22]ölçme_sistemleri!$I$3:$N$10,6,FALSE)</f>
        <v>4</v>
      </c>
      <c r="AN168" s="1">
        <v>2</v>
      </c>
      <c r="AO168" s="1">
        <f t="shared" si="88"/>
        <v>8</v>
      </c>
      <c r="AP168" s="1">
        <v>14</v>
      </c>
      <c r="AQ168" s="1">
        <f t="shared" si="105"/>
        <v>42</v>
      </c>
      <c r="AR168" s="1">
        <f t="shared" si="89"/>
        <v>113</v>
      </c>
      <c r="AS168" s="1">
        <f t="shared" si="109"/>
        <v>25</v>
      </c>
      <c r="AT168" s="1">
        <f t="shared" si="90"/>
        <v>5</v>
      </c>
      <c r="AU168" s="1">
        <f t="shared" si="106"/>
        <v>1</v>
      </c>
      <c r="AV168" s="1">
        <f t="shared" si="111"/>
        <v>0</v>
      </c>
      <c r="AW168" s="1">
        <f t="shared" si="112"/>
        <v>0</v>
      </c>
      <c r="AX168" s="1">
        <f t="shared" si="113"/>
        <v>0</v>
      </c>
      <c r="AY168" s="1">
        <f t="shared" si="91"/>
        <v>-21</v>
      </c>
      <c r="AZ168" s="1">
        <f t="shared" si="114"/>
        <v>0</v>
      </c>
      <c r="BA168" s="1">
        <f t="shared" si="92"/>
        <v>-42</v>
      </c>
      <c r="BB168" s="1">
        <f t="shared" si="115"/>
        <v>0</v>
      </c>
      <c r="BC168" s="1">
        <f t="shared" si="93"/>
        <v>-8</v>
      </c>
      <c r="BD168" s="1">
        <f t="shared" si="94"/>
        <v>0</v>
      </c>
      <c r="BE168" s="1" t="s">
        <v>65</v>
      </c>
      <c r="BF168" s="1">
        <f t="shared" si="116"/>
        <v>42</v>
      </c>
      <c r="BG168" s="1">
        <f t="shared" si="117"/>
        <v>42</v>
      </c>
      <c r="BH168" s="1">
        <f t="shared" si="95"/>
        <v>1</v>
      </c>
      <c r="BI168" s="1" t="e">
        <f>IF(BH168-#REF!=0,"DOĞRU","YANLIŞ")</f>
        <v>#REF!</v>
      </c>
      <c r="BJ168" s="1" t="e">
        <f>#REF!-BH168</f>
        <v>#REF!</v>
      </c>
      <c r="BK168" s="1">
        <v>0</v>
      </c>
      <c r="BM168" s="1">
        <v>1</v>
      </c>
      <c r="BO168" s="1">
        <v>2</v>
      </c>
      <c r="BT168" s="8">
        <f t="shared" si="118"/>
        <v>0</v>
      </c>
      <c r="BU168" s="9"/>
      <c r="BV168" s="10"/>
      <c r="BW168" s="11"/>
      <c r="BX168" s="11"/>
      <c r="BY168" s="11"/>
      <c r="BZ168" s="11"/>
      <c r="CA168" s="11"/>
      <c r="CB168" s="12"/>
      <c r="CC168" s="13"/>
      <c r="CD168" s="14"/>
      <c r="CL168" s="11"/>
      <c r="CM168" s="11"/>
      <c r="CN168" s="11"/>
      <c r="CO168" s="11"/>
      <c r="CP168" s="11"/>
      <c r="CQ168" s="46"/>
      <c r="CR168" s="46"/>
      <c r="CS168" s="48"/>
      <c r="CT168" s="48"/>
      <c r="CU168" s="48"/>
      <c r="CV168" s="48"/>
      <c r="CW168" s="49"/>
      <c r="CX168" s="49"/>
    </row>
    <row r="169" spans="1:103" hidden="1" x14ac:dyDescent="0.25">
      <c r="A169" s="41" t="s">
        <v>146</v>
      </c>
      <c r="B169" s="1" t="s">
        <v>147</v>
      </c>
      <c r="C169" s="1" t="s">
        <v>147</v>
      </c>
      <c r="D169" s="2" t="s">
        <v>63</v>
      </c>
      <c r="E169" s="2" t="s">
        <v>63</v>
      </c>
      <c r="F169" s="3" t="e">
        <f>IF(BE169="S",
IF(#REF!+BM169=2018,
IF(#REF!=1,"18-19/1",
IF(#REF!=2,"18-19/2",
IF(#REF!=3,"19-20/1",
IF(#REF!=4,"19-20/2",
IF(#REF!=5,"20-21/1",
IF(#REF!=6,"20-21/2",
IF(#REF!=7,"21-22/1",
IF(#REF!=8,"21-22/2","Hata1")))))))),
IF(#REF!+BM169=2019,
IF(#REF!=1,"19-20/1",
IF(#REF!=2,"19-20/2",
IF(#REF!=3,"20-21/1",
IF(#REF!=4,"20-21/2",
IF(#REF!=5,"21-22/1",
IF(#REF!=6,"21-22/2",
IF(#REF!=7,"22-23/1",
IF(#REF!=8,"22-23/2","Hata2")))))))),
IF(#REF!+BM169=2020,
IF(#REF!=1,"20-21/1",
IF(#REF!=2,"20-21/2",
IF(#REF!=3,"21-22/1",
IF(#REF!=4,"21-22/2",
IF(#REF!=5,"22-23/1",
IF(#REF!=6,"22-23/2",
IF(#REF!=7,"23-24/1",
IF(#REF!=8,"23-24/2","Hata3")))))))),
IF(#REF!+BM169=2021,
IF(#REF!=1,"21-22/1",
IF(#REF!=2,"21-22/2",
IF(#REF!=3,"22-23/1",
IF(#REF!=4,"22-23/2",
IF(#REF!=5,"23-24/1",
IF(#REF!=6,"23-24/2",
IF(#REF!=7,"24-25/1",
IF(#REF!=8,"24-25/2","Hata4")))))))),
IF(#REF!+BM169=2022,
IF(#REF!=1,"22-23/1",
IF(#REF!=2,"22-23/2",
IF(#REF!=3,"23-24/1",
IF(#REF!=4,"23-24/2",
IF(#REF!=5,"24-25/1",
IF(#REF!=6,"24-25/2",
IF(#REF!=7,"25-26/1",
IF(#REF!=8,"25-26/2","Hata5")))))))),
IF(#REF!+BM169=2023,
IF(#REF!=1,"23-24/1",
IF(#REF!=2,"23-24/2",
IF(#REF!=3,"24-25/1",
IF(#REF!=4,"24-25/2",
IF(#REF!=5,"25-26/1",
IF(#REF!=6,"25-26/2",
IF(#REF!=7,"26-27/1",
IF(#REF!=8,"26-27/2","Hata6")))))))),
)))))),
IF(BE169="T",
IF(#REF!+BM169=2018,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IF(#REF!+BM169=2019,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IF(#REF!+BM169=2020,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IF(#REF!+BM169=2021,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IF(#REF!+BM169=2022,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IF(#REF!+BM169=2023,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69" s="7" t="s">
        <v>75</v>
      </c>
      <c r="J169" s="1">
        <v>4234776</v>
      </c>
      <c r="L169" s="31">
        <v>3427</v>
      </c>
      <c r="N169" s="2">
        <v>4</v>
      </c>
      <c r="O169" s="6">
        <f t="shared" si="81"/>
        <v>3</v>
      </c>
      <c r="P169" s="2">
        <f t="shared" si="82"/>
        <v>3</v>
      </c>
      <c r="Q169" s="31">
        <v>0</v>
      </c>
      <c r="R169" s="2">
        <v>0</v>
      </c>
      <c r="S169" s="31">
        <v>3</v>
      </c>
      <c r="X169" s="3">
        <v>2</v>
      </c>
      <c r="Y169" s="1">
        <f>VLOOKUP($X169,[22]ölçme_sistemleri!$I$3:$N$10,2,FALSE)</f>
        <v>0</v>
      </c>
      <c r="Z169" s="1">
        <f>VLOOKUP($X169,[22]ölçme_sistemleri!$I$3:$N$10,3,FALSE)</f>
        <v>2</v>
      </c>
      <c r="AA169" s="1">
        <f>VLOOKUP($X169,[22]ölçme_sistemleri!$I$3:$N$10,4,FALSE)</f>
        <v>1</v>
      </c>
      <c r="AB169" s="1">
        <f>VLOOKUP($BE169,[22]ölçme_sistemleri!$I$13:$L$14,2,FALSE)*$O169</f>
        <v>3</v>
      </c>
      <c r="AC169" s="1">
        <f>VLOOKUP($BE169,[22]ölçme_sistemleri!$I$13:$L$14,3,FALSE)*$O169</f>
        <v>6</v>
      </c>
      <c r="AD169" s="1">
        <f>VLOOKUP($BE169,[22]ölçme_sistemleri!$I$13:$L$14,4,FALSE)*$O169</f>
        <v>9</v>
      </c>
      <c r="AE169" s="1">
        <f t="shared" si="83"/>
        <v>0</v>
      </c>
      <c r="AF169" s="1">
        <f t="shared" si="84"/>
        <v>12</v>
      </c>
      <c r="AG169" s="1">
        <f t="shared" si="85"/>
        <v>9</v>
      </c>
      <c r="AH169" s="1">
        <f t="shared" si="86"/>
        <v>21</v>
      </c>
      <c r="AI169" s="1">
        <v>14</v>
      </c>
      <c r="AJ169" s="1">
        <f>VLOOKUP(S$2:S169,[22]ölçme_sistemleri!$I$3:$M$10,5,FALSE)</f>
        <v>3</v>
      </c>
      <c r="AK169" s="1">
        <f t="shared" si="87"/>
        <v>294</v>
      </c>
      <c r="AL169" s="1">
        <f>(Q169+S169)*AI169</f>
        <v>42</v>
      </c>
      <c r="AM169" s="1">
        <f>VLOOKUP(S$9:$S169,[22]ölçme_sistemleri!$I$3:$N$10,6,FALSE)</f>
        <v>4</v>
      </c>
      <c r="AN169" s="1">
        <v>2</v>
      </c>
      <c r="AO169" s="1">
        <f t="shared" si="88"/>
        <v>8</v>
      </c>
      <c r="AP169" s="1">
        <v>14</v>
      </c>
      <c r="AQ169" s="1">
        <f t="shared" si="105"/>
        <v>42</v>
      </c>
      <c r="AR169" s="1">
        <f t="shared" si="89"/>
        <v>113</v>
      </c>
      <c r="AS169" s="1">
        <f t="shared" si="109"/>
        <v>25</v>
      </c>
      <c r="AT169" s="1">
        <f t="shared" si="90"/>
        <v>5</v>
      </c>
      <c r="AU169" s="1">
        <f t="shared" si="106"/>
        <v>1</v>
      </c>
      <c r="AV169" s="1">
        <f t="shared" si="111"/>
        <v>0</v>
      </c>
      <c r="AW169" s="1">
        <f t="shared" si="112"/>
        <v>0</v>
      </c>
      <c r="AX169" s="1">
        <f t="shared" si="113"/>
        <v>0</v>
      </c>
      <c r="AY169" s="1">
        <f t="shared" si="91"/>
        <v>-21</v>
      </c>
      <c r="AZ169" s="1">
        <f t="shared" si="114"/>
        <v>0</v>
      </c>
      <c r="BA169" s="1">
        <f t="shared" si="92"/>
        <v>-42</v>
      </c>
      <c r="BB169" s="1">
        <f t="shared" si="115"/>
        <v>0</v>
      </c>
      <c r="BC169" s="1">
        <f t="shared" si="93"/>
        <v>-8</v>
      </c>
      <c r="BD169" s="1">
        <f t="shared" si="94"/>
        <v>0</v>
      </c>
      <c r="BE169" s="1" t="s">
        <v>65</v>
      </c>
      <c r="BF169" s="1">
        <f t="shared" si="116"/>
        <v>42</v>
      </c>
      <c r="BG169" s="1">
        <f t="shared" si="117"/>
        <v>42</v>
      </c>
      <c r="BH169" s="1">
        <f t="shared" si="95"/>
        <v>1</v>
      </c>
      <c r="BI169" s="1" t="e">
        <f>IF(BH169-#REF!=0,"DOĞRU","YANLIŞ")</f>
        <v>#REF!</v>
      </c>
      <c r="BJ169" s="1" t="e">
        <f>#REF!-BH169</f>
        <v>#REF!</v>
      </c>
      <c r="BK169" s="1">
        <v>0</v>
      </c>
      <c r="BM169" s="1">
        <v>1</v>
      </c>
      <c r="BO169" s="1">
        <v>2</v>
      </c>
      <c r="BT169" s="8">
        <f t="shared" si="118"/>
        <v>0</v>
      </c>
      <c r="BU169" s="9"/>
      <c r="BV169" s="10"/>
      <c r="BW169" s="11"/>
      <c r="BX169" s="11"/>
      <c r="BY169" s="11"/>
      <c r="BZ169" s="11"/>
      <c r="CA169" s="11"/>
      <c r="CB169" s="12"/>
      <c r="CC169" s="13"/>
      <c r="CD169" s="14"/>
      <c r="CL169" s="11"/>
      <c r="CM169" s="11"/>
      <c r="CN169" s="11"/>
      <c r="CO169" s="11"/>
      <c r="CP169" s="11"/>
      <c r="CQ169" s="54"/>
      <c r="CR169" s="55"/>
      <c r="CS169" s="48"/>
      <c r="CT169" s="48"/>
      <c r="CU169" s="48"/>
      <c r="CV169" s="48"/>
      <c r="CW169" s="49"/>
      <c r="CX169" s="49"/>
    </row>
    <row r="170" spans="1:103" hidden="1" x14ac:dyDescent="0.25">
      <c r="A170" s="41" t="s">
        <v>244</v>
      </c>
      <c r="B170" s="1" t="s">
        <v>221</v>
      </c>
      <c r="C170" s="1" t="s">
        <v>221</v>
      </c>
      <c r="D170" s="2" t="s">
        <v>63</v>
      </c>
      <c r="E170" s="2" t="s">
        <v>63</v>
      </c>
      <c r="F170" s="3" t="e">
        <f>IF(BE170="S",
IF(#REF!+BM170=2018,
IF(#REF!=1,"18-19/1",
IF(#REF!=2,"18-19/2",
IF(#REF!=3,"19-20/1",
IF(#REF!=4,"19-20/2",
IF(#REF!=5,"20-21/1",
IF(#REF!=6,"20-21/2",
IF(#REF!=7,"21-22/1",
IF(#REF!=8,"21-22/2","Hata1")))))))),
IF(#REF!+BM170=2019,
IF(#REF!=1,"19-20/1",
IF(#REF!=2,"19-20/2",
IF(#REF!=3,"20-21/1",
IF(#REF!=4,"20-21/2",
IF(#REF!=5,"21-22/1",
IF(#REF!=6,"21-22/2",
IF(#REF!=7,"22-23/1",
IF(#REF!=8,"22-23/2","Hata2")))))))),
IF(#REF!+BM170=2020,
IF(#REF!=1,"20-21/1",
IF(#REF!=2,"20-21/2",
IF(#REF!=3,"21-22/1",
IF(#REF!=4,"21-22/2",
IF(#REF!=5,"22-23/1",
IF(#REF!=6,"22-23/2",
IF(#REF!=7,"23-24/1",
IF(#REF!=8,"23-24/2","Hata3")))))))),
IF(#REF!+BM170=2021,
IF(#REF!=1,"21-22/1",
IF(#REF!=2,"21-22/2",
IF(#REF!=3,"22-23/1",
IF(#REF!=4,"22-23/2",
IF(#REF!=5,"23-24/1",
IF(#REF!=6,"23-24/2",
IF(#REF!=7,"24-25/1",
IF(#REF!=8,"24-25/2","Hata4")))))))),
IF(#REF!+BM170=2022,
IF(#REF!=1,"22-23/1",
IF(#REF!=2,"22-23/2",
IF(#REF!=3,"23-24/1",
IF(#REF!=4,"23-24/2",
IF(#REF!=5,"24-25/1",
IF(#REF!=6,"24-25/2",
IF(#REF!=7,"25-26/1",
IF(#REF!=8,"25-26/2","Hata5")))))))),
IF(#REF!+BM170=2023,
IF(#REF!=1,"23-24/1",
IF(#REF!=2,"23-24/2",
IF(#REF!=3,"24-25/1",
IF(#REF!=4,"24-25/2",
IF(#REF!=5,"25-26/1",
IF(#REF!=6,"25-26/2",
IF(#REF!=7,"26-27/1",
IF(#REF!=8,"26-27/2","Hata6")))))))),
)))))),
IF(BE170="T",
IF(#REF!+BM170=2018,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H170" s="3">
        <v>25</v>
      </c>
      <c r="I170" s="1" t="s">
        <v>216</v>
      </c>
      <c r="L170" s="31">
        <v>3494</v>
      </c>
      <c r="N170" s="2">
        <v>3</v>
      </c>
      <c r="O170" s="6">
        <f t="shared" si="81"/>
        <v>3</v>
      </c>
      <c r="P170" s="2">
        <f t="shared" si="82"/>
        <v>3</v>
      </c>
      <c r="Q170" s="2">
        <v>0</v>
      </c>
      <c r="R170" s="2">
        <v>0</v>
      </c>
      <c r="S170" s="2">
        <v>3</v>
      </c>
      <c r="X170" s="3">
        <v>4</v>
      </c>
      <c r="Y170" s="1">
        <f>VLOOKUP(X170,[23]ölçme_sistemleri!I:L,2,FALSE)</f>
        <v>0</v>
      </c>
      <c r="Z170" s="1">
        <f>VLOOKUP(X170,[23]ölçme_sistemleri!I:L,3,FALSE)</f>
        <v>1</v>
      </c>
      <c r="AA170" s="1">
        <f>VLOOKUP(X170,[23]ölçme_sistemleri!I:L,4,FALSE)</f>
        <v>1</v>
      </c>
      <c r="AB170" s="1">
        <f>$O170*[23]ölçme_sistemleri!J$13</f>
        <v>3</v>
      </c>
      <c r="AC170" s="1">
        <f>$O170*[23]ölçme_sistemleri!K$13</f>
        <v>6</v>
      </c>
      <c r="AD170" s="1">
        <f>$O170*[23]ölçme_sistemleri!L$13</f>
        <v>9</v>
      </c>
      <c r="AE170" s="1">
        <f t="shared" si="83"/>
        <v>0</v>
      </c>
      <c r="AF170" s="1">
        <f t="shared" si="84"/>
        <v>6</v>
      </c>
      <c r="AG170" s="1">
        <f t="shared" si="85"/>
        <v>9</v>
      </c>
      <c r="AH170" s="1">
        <f t="shared" si="86"/>
        <v>15</v>
      </c>
      <c r="AI170" s="1">
        <v>14</v>
      </c>
      <c r="AJ170" s="1">
        <f>VLOOKUP(X170,[23]ölçme_sistemleri!I:M,5,FALSE)</f>
        <v>1</v>
      </c>
      <c r="AK170" s="1">
        <f t="shared" si="87"/>
        <v>210</v>
      </c>
      <c r="AL170" s="1">
        <f>(Q170+S170)*AI170/2</f>
        <v>21</v>
      </c>
      <c r="AM170" s="1">
        <f>VLOOKUP(X170,[23]ölçme_sistemleri!I:N,6,FALSE)</f>
        <v>2</v>
      </c>
      <c r="AN170" s="1">
        <v>2</v>
      </c>
      <c r="AO170" s="1">
        <f t="shared" si="88"/>
        <v>4</v>
      </c>
      <c r="AP170" s="1">
        <v>14</v>
      </c>
      <c r="AQ170" s="1">
        <f t="shared" si="105"/>
        <v>42</v>
      </c>
      <c r="AR170" s="1">
        <f t="shared" si="89"/>
        <v>82</v>
      </c>
      <c r="AS170" s="1">
        <f t="shared" si="109"/>
        <v>25</v>
      </c>
      <c r="AT170" s="1">
        <f t="shared" si="90"/>
        <v>3</v>
      </c>
      <c r="AU170" s="1">
        <f t="shared" si="106"/>
        <v>0</v>
      </c>
      <c r="AV170" s="1">
        <f t="shared" si="111"/>
        <v>0</v>
      </c>
      <c r="AW170" s="1">
        <f t="shared" si="112"/>
        <v>0</v>
      </c>
      <c r="AX170" s="1">
        <f t="shared" si="113"/>
        <v>0</v>
      </c>
      <c r="AY170" s="1">
        <f t="shared" si="91"/>
        <v>-15</v>
      </c>
      <c r="AZ170" s="1">
        <f t="shared" si="114"/>
        <v>0</v>
      </c>
      <c r="BA170" s="1">
        <f t="shared" si="92"/>
        <v>-21</v>
      </c>
      <c r="BB170" s="1">
        <f t="shared" si="115"/>
        <v>0</v>
      </c>
      <c r="BC170" s="1">
        <f t="shared" si="93"/>
        <v>-4</v>
      </c>
      <c r="BD170" s="1">
        <f t="shared" si="94"/>
        <v>0</v>
      </c>
      <c r="BE170" s="1" t="s">
        <v>65</v>
      </c>
      <c r="BF170" s="1">
        <f t="shared" si="116"/>
        <v>42</v>
      </c>
      <c r="BG170" s="1">
        <f t="shared" si="117"/>
        <v>42</v>
      </c>
      <c r="BH170" s="1">
        <f t="shared" si="95"/>
        <v>1</v>
      </c>
      <c r="BI170" s="1" t="e">
        <f>IF(BH170-#REF!=0,"DOĞRU","YANLIŞ")</f>
        <v>#REF!</v>
      </c>
      <c r="BJ170" s="1" t="e">
        <f>#REF!-BH170</f>
        <v>#REF!</v>
      </c>
      <c r="BK170" s="1">
        <v>0</v>
      </c>
      <c r="BM170" s="1">
        <v>1</v>
      </c>
      <c r="BO170" s="1">
        <v>2</v>
      </c>
      <c r="BT170" s="8">
        <f t="shared" si="118"/>
        <v>0</v>
      </c>
      <c r="BU170" s="9"/>
      <c r="BV170" s="10"/>
      <c r="BW170" s="11"/>
      <c r="BX170" s="11"/>
      <c r="BY170" s="11"/>
      <c r="BZ170" s="11"/>
      <c r="CA170" s="11"/>
      <c r="CB170" s="12"/>
      <c r="CC170" s="13"/>
      <c r="CD170" s="14"/>
      <c r="CL170" s="11"/>
      <c r="CM170" s="11"/>
      <c r="CN170" s="11"/>
      <c r="CO170" s="11"/>
      <c r="CP170" s="11"/>
      <c r="CQ170" s="49"/>
      <c r="CR170" s="46"/>
      <c r="CS170" s="54"/>
      <c r="CT170" s="48"/>
      <c r="CU170" s="48"/>
      <c r="CV170" s="48"/>
      <c r="CW170" s="49"/>
      <c r="CX170" s="49"/>
    </row>
    <row r="171" spans="1:103" hidden="1" x14ac:dyDescent="0.25">
      <c r="A171" s="1" t="s">
        <v>386</v>
      </c>
      <c r="B171" s="1" t="s">
        <v>200</v>
      </c>
      <c r="C171" s="1" t="s">
        <v>200</v>
      </c>
      <c r="D171" s="2" t="s">
        <v>58</v>
      </c>
      <c r="E171" s="2" t="s">
        <v>58</v>
      </c>
      <c r="F171" s="3" t="e">
        <f>IF(BE171="S",
IF(#REF!+BM171=2018,
IF(#REF!=1,"18-19/1",
IF(#REF!=2,"18-19/2",
IF(#REF!=3,"19-20/1",
IF(#REF!=4,"19-20/2",
IF(#REF!=5,"20-21/1",
IF(#REF!=6,"20-21/2",
IF(#REF!=7,"21-22/1",
IF(#REF!=8,"21-22/2","Hata1")))))))),
IF(#REF!+BM171=2019,
IF(#REF!=1,"19-20/1",
IF(#REF!=2,"19-20/2",
IF(#REF!=3,"20-21/1",
IF(#REF!=4,"20-21/2",
IF(#REF!=5,"21-22/1",
IF(#REF!=6,"21-22/2",
IF(#REF!=7,"22-23/1",
IF(#REF!=8,"22-23/2","Hata2")))))))),
IF(#REF!+BM171=2020,
IF(#REF!=1,"20-21/1",
IF(#REF!=2,"20-21/2",
IF(#REF!=3,"21-22/1",
IF(#REF!=4,"21-22/2",
IF(#REF!=5,"22-23/1",
IF(#REF!=6,"22-23/2",
IF(#REF!=7,"23-24/1",
IF(#REF!=8,"23-24/2","Hata3")))))))),
IF(#REF!+BM171=2021,
IF(#REF!=1,"21-22/1",
IF(#REF!=2,"21-22/2",
IF(#REF!=3,"22-23/1",
IF(#REF!=4,"22-23/2",
IF(#REF!=5,"23-24/1",
IF(#REF!=6,"23-24/2",
IF(#REF!=7,"24-25/1",
IF(#REF!=8,"24-25/2","Hata4")))))))),
IF(#REF!+BM171=2022,
IF(#REF!=1,"22-23/1",
IF(#REF!=2,"22-23/2",
IF(#REF!=3,"23-24/1",
IF(#REF!=4,"23-24/2",
IF(#REF!=5,"24-25/1",
IF(#REF!=6,"24-25/2",
IF(#REF!=7,"25-26/1",
IF(#REF!=8,"25-26/2","Hata5")))))))),
IF(#REF!+BM171=2023,
IF(#REF!=1,"23-24/1",
IF(#REF!=2,"23-24/2",
IF(#REF!=3,"24-25/1",
IF(#REF!=4,"24-25/2",
IF(#REF!=5,"25-26/1",
IF(#REF!=6,"25-26/2",
IF(#REF!=7,"26-27/1",
IF(#REF!=8,"26-27/2","Hata6")))))))),
)))))),
IF(BE171="T",
IF(#REF!+BM171=2018,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171" s="3">
        <v>0</v>
      </c>
      <c r="I171" s="1" t="s">
        <v>216</v>
      </c>
      <c r="L171" s="2">
        <v>3458</v>
      </c>
      <c r="N171" s="2">
        <v>4</v>
      </c>
      <c r="O171" s="6">
        <f t="shared" si="81"/>
        <v>3</v>
      </c>
      <c r="P171" s="2">
        <f t="shared" si="82"/>
        <v>4</v>
      </c>
      <c r="Q171" s="2">
        <v>2</v>
      </c>
      <c r="R171" s="2">
        <v>2</v>
      </c>
      <c r="S171" s="2">
        <v>0</v>
      </c>
      <c r="X171" s="3">
        <v>4</v>
      </c>
      <c r="Y171" s="1">
        <f>VLOOKUP(X171,[23]ölçme_sistemleri!I:L,2,FALSE)</f>
        <v>0</v>
      </c>
      <c r="Z171" s="1">
        <f>VLOOKUP(X171,[23]ölçme_sistemleri!I:L,3,FALSE)</f>
        <v>1</v>
      </c>
      <c r="AA171" s="1">
        <f>VLOOKUP(X171,[23]ölçme_sistemleri!I:L,4,FALSE)</f>
        <v>1</v>
      </c>
      <c r="AB171" s="1">
        <f>$O171*[23]ölçme_sistemleri!J$13</f>
        <v>3</v>
      </c>
      <c r="AC171" s="1">
        <f>$O171*[23]ölçme_sistemleri!K$13</f>
        <v>6</v>
      </c>
      <c r="AD171" s="1">
        <f>$O171*[23]ölçme_sistemleri!L$13</f>
        <v>9</v>
      </c>
      <c r="AE171" s="1">
        <f t="shared" si="83"/>
        <v>0</v>
      </c>
      <c r="AF171" s="1">
        <f t="shared" si="84"/>
        <v>6</v>
      </c>
      <c r="AG171" s="1">
        <f t="shared" si="85"/>
        <v>9</v>
      </c>
      <c r="AH171" s="1">
        <f t="shared" si="86"/>
        <v>15</v>
      </c>
      <c r="AI171" s="1">
        <v>14</v>
      </c>
      <c r="AJ171" s="1">
        <f>VLOOKUP(X171,[23]ölçme_sistemleri!I:M,5,FALSE)</f>
        <v>1</v>
      </c>
      <c r="AK171" s="1">
        <f t="shared" si="87"/>
        <v>210</v>
      </c>
      <c r="AL171" s="1">
        <f t="shared" ref="AL171:AL184" si="119">(Q171+S171)*AI171</f>
        <v>28</v>
      </c>
      <c r="AM171" s="1">
        <f>VLOOKUP(X171,[23]ölçme_sistemleri!I:N,6,FALSE)</f>
        <v>2</v>
      </c>
      <c r="AN171" s="1">
        <v>2</v>
      </c>
      <c r="AO171" s="1">
        <f t="shared" si="88"/>
        <v>4</v>
      </c>
      <c r="AP171" s="1">
        <v>14</v>
      </c>
      <c r="AQ171" s="1">
        <f t="shared" si="105"/>
        <v>56</v>
      </c>
      <c r="AR171" s="1">
        <f t="shared" si="89"/>
        <v>103</v>
      </c>
      <c r="AS171" s="1">
        <f t="shared" si="109"/>
        <v>25</v>
      </c>
      <c r="AT171" s="1">
        <f t="shared" si="90"/>
        <v>4</v>
      </c>
      <c r="AU171" s="1">
        <f t="shared" si="106"/>
        <v>0</v>
      </c>
      <c r="AV171" s="1">
        <f t="shared" si="111"/>
        <v>0</v>
      </c>
      <c r="AW171" s="1">
        <f t="shared" si="112"/>
        <v>0</v>
      </c>
      <c r="AX171" s="1">
        <f t="shared" si="113"/>
        <v>0</v>
      </c>
      <c r="AY171" s="1">
        <f t="shared" si="91"/>
        <v>-15</v>
      </c>
      <c r="AZ171" s="1">
        <f t="shared" si="114"/>
        <v>0</v>
      </c>
      <c r="BA171" s="1">
        <f t="shared" si="92"/>
        <v>-28</v>
      </c>
      <c r="BB171" s="1">
        <f t="shared" si="115"/>
        <v>0</v>
      </c>
      <c r="BC171" s="1">
        <f t="shared" si="93"/>
        <v>-4</v>
      </c>
      <c r="BD171" s="1">
        <f t="shared" si="94"/>
        <v>0</v>
      </c>
      <c r="BE171" s="1" t="s">
        <v>65</v>
      </c>
      <c r="BF171" s="1">
        <f t="shared" si="116"/>
        <v>42</v>
      </c>
      <c r="BG171" s="1">
        <f t="shared" si="117"/>
        <v>42</v>
      </c>
      <c r="BH171" s="1">
        <f t="shared" si="95"/>
        <v>1</v>
      </c>
      <c r="BI171" s="1" t="e">
        <f>IF(BH171-#REF!=0,"DOĞRU","YANLIŞ")</f>
        <v>#REF!</v>
      </c>
      <c r="BJ171" s="1" t="e">
        <f>#REF!-BH171</f>
        <v>#REF!</v>
      </c>
      <c r="BK171" s="1">
        <v>0</v>
      </c>
      <c r="BM171" s="1">
        <v>0</v>
      </c>
      <c r="BO171" s="1">
        <v>4</v>
      </c>
      <c r="BT171" s="8">
        <f t="shared" si="118"/>
        <v>28</v>
      </c>
      <c r="BU171" s="9"/>
      <c r="BV171" s="10"/>
      <c r="BW171" s="11"/>
      <c r="BX171" s="11"/>
      <c r="BY171" s="11"/>
      <c r="BZ171" s="11"/>
      <c r="CA171" s="11"/>
      <c r="CB171" s="12"/>
      <c r="CC171" s="13"/>
      <c r="CD171" s="14"/>
      <c r="CL171" s="11"/>
      <c r="CM171" s="11"/>
      <c r="CN171" s="11"/>
      <c r="CO171" s="11"/>
      <c r="CP171" s="11"/>
      <c r="CQ171" s="49"/>
      <c r="CR171" s="46"/>
      <c r="CS171" s="48"/>
      <c r="CT171" s="48"/>
      <c r="CU171" s="48"/>
      <c r="CV171" s="48"/>
      <c r="CW171" s="49"/>
      <c r="CX171" s="49"/>
    </row>
    <row r="172" spans="1:103" x14ac:dyDescent="0.25">
      <c r="A172" s="88" t="s">
        <v>387</v>
      </c>
      <c r="B172" s="88" t="s">
        <v>388</v>
      </c>
      <c r="C172" s="1" t="s">
        <v>388</v>
      </c>
      <c r="D172" s="2" t="s">
        <v>58</v>
      </c>
      <c r="E172" s="2" t="s">
        <v>58</v>
      </c>
      <c r="F172" s="3" t="e">
        <f>IF(BE172="S",
IF(#REF!+BM172=2018,
IF(#REF!=1,"18-19/1",
IF(#REF!=2,"18-19/2",
IF(#REF!=3,"19-20/1",
IF(#REF!=4,"19-20/2",
IF(#REF!=5,"20-21/1",
IF(#REF!=6,"20-21/2",
IF(#REF!=7,"21-22/1",
IF(#REF!=8,"21-22/2","Hata1")))))))),
IF(#REF!+BM172=2019,
IF(#REF!=1,"19-20/1",
IF(#REF!=2,"19-20/2",
IF(#REF!=3,"20-21/1",
IF(#REF!=4,"20-21/2",
IF(#REF!=5,"21-22/1",
IF(#REF!=6,"21-22/2",
IF(#REF!=7,"22-23/1",
IF(#REF!=8,"22-23/2","Hata2")))))))),
IF(#REF!+BM172=2020,
IF(#REF!=1,"20-21/1",
IF(#REF!=2,"20-21/2",
IF(#REF!=3,"21-22/1",
IF(#REF!=4,"21-22/2",
IF(#REF!=5,"22-23/1",
IF(#REF!=6,"22-23/2",
IF(#REF!=7,"23-24/1",
IF(#REF!=8,"23-24/2","Hata3")))))))),
IF(#REF!+BM172=2021,
IF(#REF!=1,"21-22/1",
IF(#REF!=2,"21-22/2",
IF(#REF!=3,"22-23/1",
IF(#REF!=4,"22-23/2",
IF(#REF!=5,"23-24/1",
IF(#REF!=6,"23-24/2",
IF(#REF!=7,"24-25/1",
IF(#REF!=8,"24-25/2","Hata4")))))))),
IF(#REF!+BM172=2022,
IF(#REF!=1,"22-23/1",
IF(#REF!=2,"22-23/2",
IF(#REF!=3,"23-24/1",
IF(#REF!=4,"23-24/2",
IF(#REF!=5,"24-25/1",
IF(#REF!=6,"24-25/2",
IF(#REF!=7,"25-26/1",
IF(#REF!=8,"25-26/2","Hata5")))))))),
IF(#REF!+BM172=2023,
IF(#REF!=1,"23-24/1",
IF(#REF!=2,"23-24/2",
IF(#REF!=3,"24-25/1",
IF(#REF!=4,"24-25/2",
IF(#REF!=5,"25-26/1",
IF(#REF!=6,"25-26/2",
IF(#REF!=7,"26-27/1",
IF(#REF!=8,"26-27/2","Hata6")))))))),
)))))),
IF(BE172="T",
IF(#REF!+BM172=2018,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2" s="88" t="s">
        <v>216</v>
      </c>
      <c r="L172" s="2">
        <v>3203</v>
      </c>
      <c r="N172" s="87">
        <v>7</v>
      </c>
      <c r="O172" s="89">
        <f t="shared" si="81"/>
        <v>5</v>
      </c>
      <c r="P172" s="2">
        <f t="shared" si="82"/>
        <v>6</v>
      </c>
      <c r="Q172" s="2">
        <v>0</v>
      </c>
      <c r="R172" s="2">
        <v>2</v>
      </c>
      <c r="S172" s="2">
        <v>4</v>
      </c>
      <c r="X172" s="90">
        <v>2</v>
      </c>
      <c r="Y172" s="1">
        <f>VLOOKUP(X172,[23]ölçme_sistemleri!I:L,2,FALSE)</f>
        <v>0</v>
      </c>
      <c r="Z172" s="1">
        <f>VLOOKUP(X172,[23]ölçme_sistemleri!I:L,3,FALSE)</f>
        <v>2</v>
      </c>
      <c r="AA172" s="1">
        <f>VLOOKUP(X172,[23]ölçme_sistemleri!I:L,4,FALSE)</f>
        <v>1</v>
      </c>
      <c r="AB172" s="1">
        <f>$O172*[23]ölçme_sistemleri!J$13</f>
        <v>5</v>
      </c>
      <c r="AC172" s="1">
        <f>$O172*[23]ölçme_sistemleri!K$13</f>
        <v>10</v>
      </c>
      <c r="AD172" s="1">
        <f>$O172*[23]ölçme_sistemleri!L$13</f>
        <v>15</v>
      </c>
      <c r="AE172" s="1">
        <f t="shared" si="83"/>
        <v>0</v>
      </c>
      <c r="AF172" s="1">
        <f t="shared" si="84"/>
        <v>20</v>
      </c>
      <c r="AG172" s="1">
        <f t="shared" si="85"/>
        <v>15</v>
      </c>
      <c r="AH172" s="1">
        <f t="shared" si="86"/>
        <v>35</v>
      </c>
      <c r="AI172" s="1">
        <v>14</v>
      </c>
      <c r="AJ172" s="1">
        <f>VLOOKUP(X172,[23]ölçme_sistemleri!I:M,5,FALSE)</f>
        <v>2</v>
      </c>
      <c r="AK172" s="1">
        <f t="shared" si="87"/>
        <v>490</v>
      </c>
      <c r="AL172" s="1">
        <f t="shared" si="119"/>
        <v>56</v>
      </c>
      <c r="AM172" s="1">
        <f>VLOOKUP(X172,[23]ölçme_sistemleri!I:N,6,FALSE)</f>
        <v>3</v>
      </c>
      <c r="AN172" s="1">
        <v>2</v>
      </c>
      <c r="AO172" s="1">
        <f t="shared" si="88"/>
        <v>6</v>
      </c>
      <c r="AP172" s="1">
        <v>14</v>
      </c>
      <c r="AQ172" s="1">
        <f t="shared" si="105"/>
        <v>84</v>
      </c>
      <c r="AR172" s="1">
        <f t="shared" si="89"/>
        <v>181</v>
      </c>
      <c r="AS172" s="1">
        <f>IF(BE172="s",25,25)</f>
        <v>25</v>
      </c>
      <c r="AT172" s="1">
        <f t="shared" si="90"/>
        <v>7</v>
      </c>
      <c r="AU172" s="1">
        <f t="shared" si="106"/>
        <v>0</v>
      </c>
      <c r="AV172" s="1">
        <f t="shared" si="111"/>
        <v>0</v>
      </c>
      <c r="AW172" s="1">
        <f t="shared" si="112"/>
        <v>0</v>
      </c>
      <c r="AX172" s="1">
        <f t="shared" si="113"/>
        <v>0</v>
      </c>
      <c r="AY172" s="1">
        <f t="shared" si="91"/>
        <v>-35</v>
      </c>
      <c r="AZ172" s="1">
        <f t="shared" si="114"/>
        <v>0</v>
      </c>
      <c r="BA172" s="1">
        <f t="shared" si="92"/>
        <v>-56</v>
      </c>
      <c r="BB172" s="1">
        <f t="shared" si="115"/>
        <v>0</v>
      </c>
      <c r="BC172" s="1">
        <f t="shared" si="93"/>
        <v>-6</v>
      </c>
      <c r="BD172" s="1">
        <f t="shared" si="94"/>
        <v>0</v>
      </c>
      <c r="BE172" s="1" t="s">
        <v>65</v>
      </c>
      <c r="BF172" s="1">
        <f t="shared" si="116"/>
        <v>70</v>
      </c>
      <c r="BG172" s="1">
        <f t="shared" si="117"/>
        <v>70</v>
      </c>
      <c r="BH172" s="1">
        <f t="shared" si="95"/>
        <v>2</v>
      </c>
      <c r="BI172" s="1" t="e">
        <f>IF(BH172-#REF!=0,"DOĞRU","YANLIŞ")</f>
        <v>#REF!</v>
      </c>
      <c r="BJ172" s="1" t="e">
        <f>#REF!-BH172</f>
        <v>#REF!</v>
      </c>
      <c r="BK172" s="1">
        <v>1</v>
      </c>
      <c r="BM172" s="1">
        <v>0</v>
      </c>
      <c r="BO172" s="1">
        <v>4</v>
      </c>
      <c r="BT172" s="8">
        <f t="shared" si="118"/>
        <v>28</v>
      </c>
      <c r="BU172" s="9"/>
      <c r="BV172" s="10"/>
      <c r="BW172" s="11"/>
      <c r="BX172" s="11"/>
      <c r="BY172" s="11"/>
      <c r="BZ172" s="11"/>
      <c r="CA172" s="11"/>
      <c r="CB172" s="12"/>
      <c r="CC172" s="13"/>
      <c r="CD172" s="14"/>
      <c r="CL172" s="82"/>
      <c r="CM172" s="82"/>
      <c r="CN172" s="82"/>
      <c r="CO172" s="82"/>
      <c r="CP172" s="82" t="s">
        <v>442</v>
      </c>
      <c r="CQ172" s="84">
        <v>44315</v>
      </c>
      <c r="CR172" s="83" t="s">
        <v>530</v>
      </c>
      <c r="CS172" s="84">
        <v>44336</v>
      </c>
      <c r="CT172" s="91" t="s">
        <v>530</v>
      </c>
      <c r="CU172" s="49"/>
      <c r="CV172" s="48"/>
      <c r="CW172" s="49"/>
      <c r="CX172" s="49"/>
      <c r="CY172"/>
    </row>
    <row r="173" spans="1:103" hidden="1" x14ac:dyDescent="0.25">
      <c r="A173" s="1" t="s">
        <v>392</v>
      </c>
      <c r="B173" s="1" t="s">
        <v>393</v>
      </c>
      <c r="C173" s="1" t="s">
        <v>393</v>
      </c>
      <c r="D173" s="2" t="s">
        <v>63</v>
      </c>
      <c r="E173" s="2" t="s">
        <v>63</v>
      </c>
      <c r="F173" s="3" t="e">
        <f>IF(BE173="S",
IF(#REF!+BM173=2018,
IF(#REF!=1,"18-19/1",
IF(#REF!=2,"18-19/2",
IF(#REF!=3,"19-20/1",
IF(#REF!=4,"19-20/2",
IF(#REF!=5,"20-21/1",
IF(#REF!=6,"20-21/2",
IF(#REF!=7,"21-22/1",
IF(#REF!=8,"21-22/2","Hata1")))))))),
IF(#REF!+BM173=2019,
IF(#REF!=1,"19-20/1",
IF(#REF!=2,"19-20/2",
IF(#REF!=3,"20-21/1",
IF(#REF!=4,"20-21/2",
IF(#REF!=5,"21-22/1",
IF(#REF!=6,"21-22/2",
IF(#REF!=7,"22-23/1",
IF(#REF!=8,"22-23/2","Hata2")))))))),
IF(#REF!+BM173=2020,
IF(#REF!=1,"20-21/1",
IF(#REF!=2,"20-21/2",
IF(#REF!=3,"21-22/1",
IF(#REF!=4,"21-22/2",
IF(#REF!=5,"22-23/1",
IF(#REF!=6,"22-23/2",
IF(#REF!=7,"23-24/1",
IF(#REF!=8,"23-24/2","Hata3")))))))),
IF(#REF!+BM173=2021,
IF(#REF!=1,"21-22/1",
IF(#REF!=2,"21-22/2",
IF(#REF!=3,"22-23/1",
IF(#REF!=4,"22-23/2",
IF(#REF!=5,"23-24/1",
IF(#REF!=6,"23-24/2",
IF(#REF!=7,"24-25/1",
IF(#REF!=8,"24-25/2","Hata4")))))))),
IF(#REF!+BM173=2022,
IF(#REF!=1,"22-23/1",
IF(#REF!=2,"22-23/2",
IF(#REF!=3,"23-24/1",
IF(#REF!=4,"23-24/2",
IF(#REF!=5,"24-25/1",
IF(#REF!=6,"24-25/2",
IF(#REF!=7,"25-26/1",
IF(#REF!=8,"25-26/2","Hata5")))))))),
IF(#REF!+BM173=2023,
IF(#REF!=1,"23-24/1",
IF(#REF!=2,"23-24/2",
IF(#REF!=3,"24-25/1",
IF(#REF!=4,"24-25/2",
IF(#REF!=5,"25-26/1",
IF(#REF!=6,"25-26/2",
IF(#REF!=7,"26-27/1",
IF(#REF!=8,"26-27/2","Hata6")))))))),
)))))),
IF(BE173="T",
IF(#REF!+BM173=2018,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3" s="1" t="s">
        <v>216</v>
      </c>
      <c r="L173" s="2">
        <v>3176</v>
      </c>
      <c r="N173" s="2">
        <v>5</v>
      </c>
      <c r="O173" s="6">
        <f t="shared" si="81"/>
        <v>3</v>
      </c>
      <c r="P173" s="2">
        <f t="shared" si="82"/>
        <v>3</v>
      </c>
      <c r="Q173" s="2">
        <v>3</v>
      </c>
      <c r="R173" s="2">
        <v>0</v>
      </c>
      <c r="S173" s="2">
        <v>0</v>
      </c>
      <c r="X173" s="3">
        <v>3</v>
      </c>
      <c r="Y173" s="1">
        <f>VLOOKUP(X173,[23]ölçme_sistemleri!I:L,2,FALSE)</f>
        <v>2</v>
      </c>
      <c r="Z173" s="1">
        <f>VLOOKUP(X173,[23]ölçme_sistemleri!I:L,3,FALSE)</f>
        <v>1</v>
      </c>
      <c r="AA173" s="1">
        <f>VLOOKUP(X173,[23]ölçme_sistemleri!I:L,4,FALSE)</f>
        <v>1</v>
      </c>
      <c r="AB173" s="1">
        <f>$O173*[23]ölçme_sistemleri!J$13</f>
        <v>3</v>
      </c>
      <c r="AC173" s="1">
        <f>$O173*[23]ölçme_sistemleri!K$13</f>
        <v>6</v>
      </c>
      <c r="AD173" s="1">
        <f>$O173*[23]ölçme_sistemleri!L$13</f>
        <v>9</v>
      </c>
      <c r="AE173" s="1">
        <f t="shared" si="83"/>
        <v>6</v>
      </c>
      <c r="AF173" s="1">
        <f t="shared" si="84"/>
        <v>6</v>
      </c>
      <c r="AG173" s="1">
        <f t="shared" si="85"/>
        <v>9</v>
      </c>
      <c r="AH173" s="1">
        <f t="shared" si="86"/>
        <v>21</v>
      </c>
      <c r="AI173" s="1">
        <v>14</v>
      </c>
      <c r="AJ173" s="1">
        <f>VLOOKUP(X173,[23]ölçme_sistemleri!I:M,5,FALSE)</f>
        <v>3</v>
      </c>
      <c r="AK173" s="1">
        <f t="shared" si="87"/>
        <v>294</v>
      </c>
      <c r="AL173" s="1">
        <f t="shared" si="119"/>
        <v>42</v>
      </c>
      <c r="AM173" s="1">
        <f>VLOOKUP(X173,[23]ölçme_sistemleri!I:N,6,FALSE)</f>
        <v>4</v>
      </c>
      <c r="AN173" s="1">
        <v>2</v>
      </c>
      <c r="AO173" s="1">
        <f t="shared" si="88"/>
        <v>8</v>
      </c>
      <c r="AP173" s="1">
        <v>14</v>
      </c>
      <c r="AQ173" s="1">
        <f t="shared" si="105"/>
        <v>42</v>
      </c>
      <c r="AR173" s="1">
        <f t="shared" si="89"/>
        <v>113</v>
      </c>
      <c r="AS173" s="1">
        <f t="shared" ref="AS173:AS179" si="120">IF(BE173="s",25,30)</f>
        <v>25</v>
      </c>
      <c r="AT173" s="1">
        <f t="shared" si="90"/>
        <v>5</v>
      </c>
      <c r="AU173" s="1">
        <f t="shared" si="106"/>
        <v>0</v>
      </c>
      <c r="AV173" s="1">
        <f t="shared" si="111"/>
        <v>0</v>
      </c>
      <c r="AW173" s="1">
        <f t="shared" si="112"/>
        <v>0</v>
      </c>
      <c r="AX173" s="1">
        <f t="shared" si="113"/>
        <v>0</v>
      </c>
      <c r="AY173" s="1">
        <f t="shared" si="91"/>
        <v>-21</v>
      </c>
      <c r="AZ173" s="1">
        <f t="shared" si="114"/>
        <v>0</v>
      </c>
      <c r="BA173" s="1">
        <f t="shared" si="92"/>
        <v>-42</v>
      </c>
      <c r="BB173" s="1">
        <f t="shared" si="115"/>
        <v>0</v>
      </c>
      <c r="BC173" s="1">
        <f t="shared" si="93"/>
        <v>-8</v>
      </c>
      <c r="BD173" s="1">
        <f t="shared" si="94"/>
        <v>0</v>
      </c>
      <c r="BE173" s="1" t="s">
        <v>65</v>
      </c>
      <c r="BF173" s="1">
        <f t="shared" si="116"/>
        <v>42</v>
      </c>
      <c r="BG173" s="1">
        <f t="shared" si="117"/>
        <v>42</v>
      </c>
      <c r="BH173" s="1">
        <f t="shared" si="95"/>
        <v>1</v>
      </c>
      <c r="BI173" s="1" t="e">
        <f>IF(BH173-#REF!=0,"DOĞRU","YANLIŞ")</f>
        <v>#REF!</v>
      </c>
      <c r="BJ173" s="1" t="e">
        <f>#REF!-BH173</f>
        <v>#REF!</v>
      </c>
      <c r="BK173" s="1">
        <v>1</v>
      </c>
      <c r="BM173" s="1">
        <v>0</v>
      </c>
      <c r="BO173" s="1">
        <v>4</v>
      </c>
      <c r="BT173" s="8">
        <f t="shared" si="118"/>
        <v>0</v>
      </c>
      <c r="BU173" s="9"/>
      <c r="BV173" s="10"/>
      <c r="BW173" s="11"/>
      <c r="BX173" s="11"/>
      <c r="BY173" s="11"/>
      <c r="BZ173" s="11"/>
      <c r="CA173" s="11"/>
      <c r="CB173" s="12"/>
      <c r="CC173" s="13"/>
      <c r="CD173" s="14"/>
      <c r="CL173" s="11"/>
      <c r="CM173" s="11"/>
      <c r="CN173" s="11"/>
      <c r="CO173" s="11"/>
      <c r="CP173" s="11"/>
      <c r="CQ173" s="54"/>
      <c r="CR173" s="55"/>
      <c r="CS173" s="55"/>
      <c r="CT173" s="55"/>
      <c r="CU173" s="48"/>
      <c r="CV173" s="48"/>
      <c r="CW173" s="49"/>
      <c r="CX173" s="49"/>
    </row>
    <row r="174" spans="1:103" hidden="1" x14ac:dyDescent="0.25">
      <c r="A174" s="1" t="s">
        <v>201</v>
      </c>
      <c r="B174" s="1" t="s">
        <v>202</v>
      </c>
      <c r="C174" s="1" t="s">
        <v>202</v>
      </c>
      <c r="D174" s="2" t="s">
        <v>58</v>
      </c>
      <c r="E174" s="2" t="s">
        <v>58</v>
      </c>
      <c r="F174" s="3" t="e">
        <f>IF(BE174="S",
IF(#REF!+BM174=2018,
IF(#REF!=1,"18-19/1",
IF(#REF!=2,"18-19/2",
IF(#REF!=3,"19-20/1",
IF(#REF!=4,"19-20/2",
IF(#REF!=5,"20-21/1",
IF(#REF!=6,"20-21/2",
IF(#REF!=7,"21-22/1",
IF(#REF!=8,"21-22/2","Hata1")))))))),
IF(#REF!+BM174=2019,
IF(#REF!=1,"19-20/1",
IF(#REF!=2,"19-20/2",
IF(#REF!=3,"20-21/1",
IF(#REF!=4,"20-21/2",
IF(#REF!=5,"21-22/1",
IF(#REF!=6,"21-22/2",
IF(#REF!=7,"22-23/1",
IF(#REF!=8,"22-23/2","Hata2")))))))),
IF(#REF!+BM174=2020,
IF(#REF!=1,"20-21/1",
IF(#REF!=2,"20-21/2",
IF(#REF!=3,"21-22/1",
IF(#REF!=4,"21-22/2",
IF(#REF!=5,"22-23/1",
IF(#REF!=6,"22-23/2",
IF(#REF!=7,"23-24/1",
IF(#REF!=8,"23-24/2","Hata3")))))))),
IF(#REF!+BM174=2021,
IF(#REF!=1,"21-22/1",
IF(#REF!=2,"21-22/2",
IF(#REF!=3,"22-23/1",
IF(#REF!=4,"22-23/2",
IF(#REF!=5,"23-24/1",
IF(#REF!=6,"23-24/2",
IF(#REF!=7,"24-25/1",
IF(#REF!=8,"24-25/2","Hata4")))))))),
IF(#REF!+BM174=2022,
IF(#REF!=1,"22-23/1",
IF(#REF!=2,"22-23/2",
IF(#REF!=3,"23-24/1",
IF(#REF!=4,"23-24/2",
IF(#REF!=5,"24-25/1",
IF(#REF!=6,"24-25/2",
IF(#REF!=7,"25-26/1",
IF(#REF!=8,"25-26/2","Hata5")))))))),
IF(#REF!+BM174=2023,
IF(#REF!=1,"23-24/1",
IF(#REF!=2,"23-24/2",
IF(#REF!=3,"24-25/1",
IF(#REF!=4,"24-25/2",
IF(#REF!=5,"25-26/1",
IF(#REF!=6,"25-26/2",
IF(#REF!=7,"26-27/1",
IF(#REF!=8,"26-27/2","Hata6")))))))),
)))))),
IF(BE174="T",
IF(#REF!+BM174=2018,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4" s="1" t="s">
        <v>216</v>
      </c>
      <c r="L174" s="2">
        <v>908</v>
      </c>
      <c r="N174" s="2">
        <v>4</v>
      </c>
      <c r="O174" s="6">
        <f t="shared" si="81"/>
        <v>3</v>
      </c>
      <c r="P174" s="2">
        <f t="shared" si="82"/>
        <v>3</v>
      </c>
      <c r="Q174" s="2">
        <v>3</v>
      </c>
      <c r="R174" s="2">
        <v>0</v>
      </c>
      <c r="S174" s="2">
        <v>0</v>
      </c>
      <c r="X174" s="3">
        <v>2</v>
      </c>
      <c r="Y174" s="1">
        <f>VLOOKUP(X174,[23]ölçme_sistemleri!I:L,2,FALSE)</f>
        <v>0</v>
      </c>
      <c r="Z174" s="1">
        <f>VLOOKUP(X174,[23]ölçme_sistemleri!I:L,3,FALSE)</f>
        <v>2</v>
      </c>
      <c r="AA174" s="1">
        <f>VLOOKUP(X174,[23]ölçme_sistemleri!I:L,4,FALSE)</f>
        <v>1</v>
      </c>
      <c r="AB174" s="1">
        <f>$O174*[23]ölçme_sistemleri!J$13</f>
        <v>3</v>
      </c>
      <c r="AC174" s="1">
        <f>$O174*[23]ölçme_sistemleri!K$13</f>
        <v>6</v>
      </c>
      <c r="AD174" s="1">
        <f>$O174*[23]ölçme_sistemleri!L$13</f>
        <v>9</v>
      </c>
      <c r="AE174" s="1">
        <f t="shared" si="83"/>
        <v>0</v>
      </c>
      <c r="AF174" s="1">
        <f t="shared" si="84"/>
        <v>12</v>
      </c>
      <c r="AG174" s="1">
        <f t="shared" si="85"/>
        <v>9</v>
      </c>
      <c r="AH174" s="1">
        <f t="shared" si="86"/>
        <v>21</v>
      </c>
      <c r="AI174" s="1">
        <v>14</v>
      </c>
      <c r="AJ174" s="1">
        <f>VLOOKUP(X174,[23]ölçme_sistemleri!I:M,5,FALSE)</f>
        <v>2</v>
      </c>
      <c r="AK174" s="1">
        <f t="shared" si="87"/>
        <v>294</v>
      </c>
      <c r="AL174" s="1">
        <f t="shared" si="119"/>
        <v>42</v>
      </c>
      <c r="AM174" s="1">
        <f>VLOOKUP(X174,[23]ölçme_sistemleri!I:N,6,FALSE)</f>
        <v>3</v>
      </c>
      <c r="AN174" s="1">
        <v>2</v>
      </c>
      <c r="AO174" s="1">
        <f t="shared" si="88"/>
        <v>6</v>
      </c>
      <c r="AP174" s="1">
        <v>14</v>
      </c>
      <c r="AQ174" s="1">
        <f t="shared" si="105"/>
        <v>42</v>
      </c>
      <c r="AR174" s="1">
        <f t="shared" si="89"/>
        <v>111</v>
      </c>
      <c r="AS174" s="1">
        <f t="shared" si="120"/>
        <v>25</v>
      </c>
      <c r="AT174" s="1">
        <f t="shared" si="90"/>
        <v>4</v>
      </c>
      <c r="AU174" s="1">
        <f t="shared" si="106"/>
        <v>0</v>
      </c>
      <c r="AV174" s="1">
        <f t="shared" si="111"/>
        <v>0</v>
      </c>
      <c r="AW174" s="1">
        <f t="shared" si="112"/>
        <v>0</v>
      </c>
      <c r="AX174" s="1">
        <f t="shared" si="113"/>
        <v>0</v>
      </c>
      <c r="AY174" s="1">
        <f t="shared" si="91"/>
        <v>-21</v>
      </c>
      <c r="AZ174" s="1">
        <f t="shared" si="114"/>
        <v>0</v>
      </c>
      <c r="BA174" s="1">
        <f t="shared" si="92"/>
        <v>-42</v>
      </c>
      <c r="BB174" s="1">
        <f t="shared" si="115"/>
        <v>0</v>
      </c>
      <c r="BC174" s="1">
        <f t="shared" si="93"/>
        <v>-6</v>
      </c>
      <c r="BD174" s="1">
        <f t="shared" si="94"/>
        <v>0</v>
      </c>
      <c r="BE174" s="1" t="s">
        <v>65</v>
      </c>
      <c r="BF174" s="1">
        <f t="shared" si="116"/>
        <v>42</v>
      </c>
      <c r="BG174" s="1">
        <f t="shared" si="117"/>
        <v>42</v>
      </c>
      <c r="BH174" s="1">
        <f t="shared" si="95"/>
        <v>1</v>
      </c>
      <c r="BI174" s="1" t="e">
        <f>IF(BH174-#REF!=0,"DOĞRU","YANLIŞ")</f>
        <v>#REF!</v>
      </c>
      <c r="BJ174" s="1" t="e">
        <f>#REF!-BH174</f>
        <v>#REF!</v>
      </c>
      <c r="BK174" s="1">
        <v>0</v>
      </c>
      <c r="BM174" s="1">
        <v>0</v>
      </c>
      <c r="BO174" s="1">
        <v>4</v>
      </c>
      <c r="BT174" s="8">
        <f t="shared" si="118"/>
        <v>0</v>
      </c>
      <c r="BU174" s="9"/>
      <c r="BV174" s="10"/>
      <c r="BW174" s="11"/>
      <c r="BX174" s="11"/>
      <c r="BY174" s="11"/>
      <c r="BZ174" s="11"/>
      <c r="CA174" s="11"/>
      <c r="CB174" s="12"/>
      <c r="CC174" s="13"/>
      <c r="CD174" s="14"/>
      <c r="CL174" s="11"/>
      <c r="CM174" s="11"/>
      <c r="CN174" s="11"/>
      <c r="CO174" s="11"/>
      <c r="CP174" s="11"/>
      <c r="CQ174" s="54"/>
      <c r="CR174" s="46"/>
      <c r="CS174" s="48"/>
      <c r="CT174" s="48"/>
      <c r="CU174" s="48"/>
      <c r="CV174" s="48"/>
      <c r="CW174" s="49"/>
      <c r="CX174" s="49"/>
    </row>
    <row r="175" spans="1:103" hidden="1" x14ac:dyDescent="0.25">
      <c r="A175" s="1" t="s">
        <v>389</v>
      </c>
      <c r="B175" s="1" t="s">
        <v>210</v>
      </c>
      <c r="C175" s="1" t="s">
        <v>210</v>
      </c>
      <c r="D175" s="2" t="s">
        <v>63</v>
      </c>
      <c r="E175" s="2" t="s">
        <v>63</v>
      </c>
      <c r="F175" s="3" t="e">
        <f>IF(BE175="S",
IF(#REF!+BM175=2018,
IF(#REF!=1,"18-19/1",
IF(#REF!=2,"18-19/2",
IF(#REF!=3,"19-20/1",
IF(#REF!=4,"19-20/2",
IF(#REF!=5,"20-21/1",
IF(#REF!=6,"20-21/2",
IF(#REF!=7,"21-22/1",
IF(#REF!=8,"21-22/2","Hata1")))))))),
IF(#REF!+BM175=2019,
IF(#REF!=1,"19-20/1",
IF(#REF!=2,"19-20/2",
IF(#REF!=3,"20-21/1",
IF(#REF!=4,"20-21/2",
IF(#REF!=5,"21-22/1",
IF(#REF!=6,"21-22/2",
IF(#REF!=7,"22-23/1",
IF(#REF!=8,"22-23/2","Hata2")))))))),
IF(#REF!+BM175=2020,
IF(#REF!=1,"20-21/1",
IF(#REF!=2,"20-21/2",
IF(#REF!=3,"21-22/1",
IF(#REF!=4,"21-22/2",
IF(#REF!=5,"22-23/1",
IF(#REF!=6,"22-23/2",
IF(#REF!=7,"23-24/1",
IF(#REF!=8,"23-24/2","Hata3")))))))),
IF(#REF!+BM175=2021,
IF(#REF!=1,"21-22/1",
IF(#REF!=2,"21-22/2",
IF(#REF!=3,"22-23/1",
IF(#REF!=4,"22-23/2",
IF(#REF!=5,"23-24/1",
IF(#REF!=6,"23-24/2",
IF(#REF!=7,"24-25/1",
IF(#REF!=8,"24-25/2","Hata4")))))))),
IF(#REF!+BM175=2022,
IF(#REF!=1,"22-23/1",
IF(#REF!=2,"22-23/2",
IF(#REF!=3,"23-24/1",
IF(#REF!=4,"23-24/2",
IF(#REF!=5,"24-25/1",
IF(#REF!=6,"24-25/2",
IF(#REF!=7,"25-26/1",
IF(#REF!=8,"25-26/2","Hata5")))))))),
IF(#REF!+BM175=2023,
IF(#REF!=1,"23-24/1",
IF(#REF!=2,"23-24/2",
IF(#REF!=3,"24-25/1",
IF(#REF!=4,"24-25/2",
IF(#REF!=5,"25-26/1",
IF(#REF!=6,"25-26/2",
IF(#REF!=7,"26-27/1",
IF(#REF!=8,"26-27/2","Hata6")))))))),
)))))),
IF(BE175="T",
IF(#REF!+BM175=2018,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5" s="1" t="s">
        <v>216</v>
      </c>
      <c r="L175" s="2">
        <v>3540</v>
      </c>
      <c r="N175" s="2">
        <v>5</v>
      </c>
      <c r="O175" s="6">
        <f t="shared" si="81"/>
        <v>3</v>
      </c>
      <c r="P175" s="2">
        <f t="shared" si="82"/>
        <v>3</v>
      </c>
      <c r="Q175" s="2">
        <v>3</v>
      </c>
      <c r="R175" s="2">
        <v>0</v>
      </c>
      <c r="S175" s="2">
        <v>0</v>
      </c>
      <c r="X175" s="3">
        <v>3</v>
      </c>
      <c r="Y175" s="1">
        <f>VLOOKUP(X175,[23]ölçme_sistemleri!I:L,2,FALSE)</f>
        <v>2</v>
      </c>
      <c r="Z175" s="1">
        <f>VLOOKUP(X175,[23]ölçme_sistemleri!I:L,3,FALSE)</f>
        <v>1</v>
      </c>
      <c r="AA175" s="1">
        <f>VLOOKUP(X175,[23]ölçme_sistemleri!I:L,4,FALSE)</f>
        <v>1</v>
      </c>
      <c r="AB175" s="1">
        <f>$O175*[23]ölçme_sistemleri!J$13</f>
        <v>3</v>
      </c>
      <c r="AC175" s="1">
        <f>$O175*[23]ölçme_sistemleri!K$13</f>
        <v>6</v>
      </c>
      <c r="AD175" s="1">
        <f>$O175*[23]ölçme_sistemleri!L$13</f>
        <v>9</v>
      </c>
      <c r="AE175" s="1">
        <f t="shared" si="83"/>
        <v>6</v>
      </c>
      <c r="AF175" s="1">
        <f t="shared" si="84"/>
        <v>6</v>
      </c>
      <c r="AG175" s="1">
        <f t="shared" si="85"/>
        <v>9</v>
      </c>
      <c r="AH175" s="1">
        <f t="shared" si="86"/>
        <v>21</v>
      </c>
      <c r="AI175" s="1">
        <v>14</v>
      </c>
      <c r="AJ175" s="1">
        <f>VLOOKUP(X175,[23]ölçme_sistemleri!I:M,5,FALSE)</f>
        <v>3</v>
      </c>
      <c r="AK175" s="1">
        <f t="shared" si="87"/>
        <v>294</v>
      </c>
      <c r="AL175" s="1">
        <f t="shared" si="119"/>
        <v>42</v>
      </c>
      <c r="AM175" s="1">
        <f>VLOOKUP(X175,[23]ölçme_sistemleri!I:N,6,FALSE)</f>
        <v>4</v>
      </c>
      <c r="AN175" s="1">
        <v>2</v>
      </c>
      <c r="AO175" s="1">
        <f t="shared" si="88"/>
        <v>8</v>
      </c>
      <c r="AP175" s="1">
        <v>14</v>
      </c>
      <c r="AQ175" s="1">
        <f t="shared" si="105"/>
        <v>42</v>
      </c>
      <c r="AR175" s="1">
        <f t="shared" si="89"/>
        <v>113</v>
      </c>
      <c r="AS175" s="1">
        <f t="shared" si="120"/>
        <v>25</v>
      </c>
      <c r="AT175" s="1">
        <f t="shared" si="90"/>
        <v>5</v>
      </c>
      <c r="AU175" s="1">
        <f t="shared" si="106"/>
        <v>0</v>
      </c>
      <c r="AV175" s="1">
        <f t="shared" si="111"/>
        <v>0</v>
      </c>
      <c r="AW175" s="1">
        <f t="shared" si="112"/>
        <v>0</v>
      </c>
      <c r="AX175" s="1">
        <f t="shared" si="113"/>
        <v>0</v>
      </c>
      <c r="AY175" s="1">
        <f t="shared" si="91"/>
        <v>-21</v>
      </c>
      <c r="AZ175" s="1">
        <f t="shared" si="114"/>
        <v>0</v>
      </c>
      <c r="BA175" s="1">
        <f t="shared" si="92"/>
        <v>-42</v>
      </c>
      <c r="BB175" s="1">
        <f t="shared" si="115"/>
        <v>0</v>
      </c>
      <c r="BC175" s="1">
        <f t="shared" si="93"/>
        <v>-8</v>
      </c>
      <c r="BD175" s="1">
        <f t="shared" si="94"/>
        <v>0</v>
      </c>
      <c r="BE175" s="1" t="s">
        <v>65</v>
      </c>
      <c r="BF175" s="1">
        <f t="shared" si="116"/>
        <v>42</v>
      </c>
      <c r="BG175" s="1">
        <f t="shared" si="117"/>
        <v>42</v>
      </c>
      <c r="BH175" s="1">
        <f t="shared" si="95"/>
        <v>1</v>
      </c>
      <c r="BI175" s="1" t="e">
        <f>IF(BH175-#REF!=0,"DOĞRU","YANLIŞ")</f>
        <v>#REF!</v>
      </c>
      <c r="BJ175" s="1" t="e">
        <f>#REF!-BH175</f>
        <v>#REF!</v>
      </c>
      <c r="BK175" s="1">
        <v>1</v>
      </c>
      <c r="BM175" s="1">
        <v>0</v>
      </c>
      <c r="BO175" s="1">
        <v>4</v>
      </c>
      <c r="BT175" s="8">
        <f t="shared" si="118"/>
        <v>0</v>
      </c>
      <c r="BU175" s="9"/>
      <c r="BV175" s="10"/>
      <c r="BW175" s="11"/>
      <c r="BX175" s="11"/>
      <c r="BY175" s="11"/>
      <c r="BZ175" s="11"/>
      <c r="CA175" s="11"/>
      <c r="CB175" s="12"/>
      <c r="CC175" s="13"/>
      <c r="CD175" s="14"/>
      <c r="CL175" s="11"/>
      <c r="CM175" s="11"/>
      <c r="CN175" s="11"/>
      <c r="CO175" s="11"/>
      <c r="CP175" s="11"/>
      <c r="CQ175" s="46"/>
      <c r="CR175" s="46"/>
      <c r="CS175" s="48"/>
      <c r="CT175" s="48"/>
      <c r="CU175" s="48"/>
      <c r="CV175" s="48"/>
      <c r="CW175" s="49"/>
      <c r="CX175" s="49"/>
    </row>
    <row r="176" spans="1:103" hidden="1" x14ac:dyDescent="0.25">
      <c r="A176" s="1" t="s">
        <v>394</v>
      </c>
      <c r="B176" s="1" t="s">
        <v>395</v>
      </c>
      <c r="C176" s="1" t="s">
        <v>395</v>
      </c>
      <c r="D176" s="2" t="s">
        <v>63</v>
      </c>
      <c r="E176" s="2" t="s">
        <v>63</v>
      </c>
      <c r="F176" s="3" t="e">
        <f>IF(BE176="S",
IF(#REF!+BM176=2018,
IF(#REF!=1,"18-19/1",
IF(#REF!=2,"18-19/2",
IF(#REF!=3,"19-20/1",
IF(#REF!=4,"19-20/2",
IF(#REF!=5,"20-21/1",
IF(#REF!=6,"20-21/2",
IF(#REF!=7,"21-22/1",
IF(#REF!=8,"21-22/2","Hata1")))))))),
IF(#REF!+BM176=2019,
IF(#REF!=1,"19-20/1",
IF(#REF!=2,"19-20/2",
IF(#REF!=3,"20-21/1",
IF(#REF!=4,"20-21/2",
IF(#REF!=5,"21-22/1",
IF(#REF!=6,"21-22/2",
IF(#REF!=7,"22-23/1",
IF(#REF!=8,"22-23/2","Hata2")))))))),
IF(#REF!+BM176=2020,
IF(#REF!=1,"20-21/1",
IF(#REF!=2,"20-21/2",
IF(#REF!=3,"21-22/1",
IF(#REF!=4,"21-22/2",
IF(#REF!=5,"22-23/1",
IF(#REF!=6,"22-23/2",
IF(#REF!=7,"23-24/1",
IF(#REF!=8,"23-24/2","Hata3")))))))),
IF(#REF!+BM176=2021,
IF(#REF!=1,"21-22/1",
IF(#REF!=2,"21-22/2",
IF(#REF!=3,"22-23/1",
IF(#REF!=4,"22-23/2",
IF(#REF!=5,"23-24/1",
IF(#REF!=6,"23-24/2",
IF(#REF!=7,"24-25/1",
IF(#REF!=8,"24-25/2","Hata4")))))))),
IF(#REF!+BM176=2022,
IF(#REF!=1,"22-23/1",
IF(#REF!=2,"22-23/2",
IF(#REF!=3,"23-24/1",
IF(#REF!=4,"23-24/2",
IF(#REF!=5,"24-25/1",
IF(#REF!=6,"24-25/2",
IF(#REF!=7,"25-26/1",
IF(#REF!=8,"25-26/2","Hata5")))))))),
IF(#REF!+BM176=2023,
IF(#REF!=1,"23-24/1",
IF(#REF!=2,"23-24/2",
IF(#REF!=3,"24-25/1",
IF(#REF!=4,"24-25/2",
IF(#REF!=5,"25-26/1",
IF(#REF!=6,"25-26/2",
IF(#REF!=7,"26-27/1",
IF(#REF!=8,"26-27/2","Hata6")))))))),
)))))),
IF(BE176="T",
IF(#REF!+BM176=2018,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6" s="1" t="s">
        <v>216</v>
      </c>
      <c r="L176" s="2">
        <v>3178</v>
      </c>
      <c r="N176" s="2">
        <v>4</v>
      </c>
      <c r="O176" s="6">
        <f t="shared" si="81"/>
        <v>3</v>
      </c>
      <c r="P176" s="2">
        <f t="shared" si="82"/>
        <v>3</v>
      </c>
      <c r="Q176" s="2">
        <v>0</v>
      </c>
      <c r="R176" s="2">
        <v>0</v>
      </c>
      <c r="S176" s="2">
        <v>3</v>
      </c>
      <c r="X176" s="3">
        <v>2</v>
      </c>
      <c r="Y176" s="1">
        <f>VLOOKUP(X176,[23]ölçme_sistemleri!I:L,2,FALSE)</f>
        <v>0</v>
      </c>
      <c r="Z176" s="1">
        <f>VLOOKUP(X176,[23]ölçme_sistemleri!I:L,3,FALSE)</f>
        <v>2</v>
      </c>
      <c r="AA176" s="1">
        <f>VLOOKUP(X176,[23]ölçme_sistemleri!I:L,4,FALSE)</f>
        <v>1</v>
      </c>
      <c r="AB176" s="1">
        <f>$O176*[23]ölçme_sistemleri!J$13</f>
        <v>3</v>
      </c>
      <c r="AC176" s="1">
        <f>$O176*[23]ölçme_sistemleri!K$13</f>
        <v>6</v>
      </c>
      <c r="AD176" s="1">
        <f>$O176*[23]ölçme_sistemleri!L$13</f>
        <v>9</v>
      </c>
      <c r="AE176" s="1">
        <f t="shared" si="83"/>
        <v>0</v>
      </c>
      <c r="AF176" s="1">
        <f t="shared" si="84"/>
        <v>12</v>
      </c>
      <c r="AG176" s="1">
        <f t="shared" si="85"/>
        <v>9</v>
      </c>
      <c r="AH176" s="1">
        <f t="shared" si="86"/>
        <v>21</v>
      </c>
      <c r="AI176" s="1">
        <v>14</v>
      </c>
      <c r="AJ176" s="1">
        <f>VLOOKUP(X176,[23]ölçme_sistemleri!I:M,5,FALSE)</f>
        <v>2</v>
      </c>
      <c r="AK176" s="1">
        <f t="shared" si="87"/>
        <v>294</v>
      </c>
      <c r="AL176" s="1">
        <f t="shared" si="119"/>
        <v>42</v>
      </c>
      <c r="AM176" s="1">
        <f>VLOOKUP(X176,[23]ölçme_sistemleri!I:N,6,FALSE)</f>
        <v>3</v>
      </c>
      <c r="AN176" s="1">
        <v>2</v>
      </c>
      <c r="AO176" s="1">
        <f t="shared" si="88"/>
        <v>6</v>
      </c>
      <c r="AP176" s="1">
        <v>14</v>
      </c>
      <c r="AQ176" s="1">
        <f t="shared" si="105"/>
        <v>42</v>
      </c>
      <c r="AR176" s="1">
        <f t="shared" si="89"/>
        <v>111</v>
      </c>
      <c r="AS176" s="1">
        <f t="shared" si="120"/>
        <v>25</v>
      </c>
      <c r="AT176" s="1">
        <f t="shared" si="90"/>
        <v>4</v>
      </c>
      <c r="AU176" s="1">
        <f t="shared" si="106"/>
        <v>0</v>
      </c>
      <c r="AV176" s="1">
        <f t="shared" si="111"/>
        <v>0</v>
      </c>
      <c r="AW176" s="1">
        <f t="shared" si="112"/>
        <v>0</v>
      </c>
      <c r="AX176" s="1">
        <f t="shared" si="113"/>
        <v>0</v>
      </c>
      <c r="AY176" s="1">
        <f t="shared" si="91"/>
        <v>-21</v>
      </c>
      <c r="AZ176" s="1">
        <f t="shared" si="114"/>
        <v>0</v>
      </c>
      <c r="BA176" s="1">
        <f t="shared" si="92"/>
        <v>-42</v>
      </c>
      <c r="BB176" s="1">
        <f t="shared" si="115"/>
        <v>0</v>
      </c>
      <c r="BC176" s="1">
        <f t="shared" si="93"/>
        <v>-6</v>
      </c>
      <c r="BD176" s="1">
        <f t="shared" si="94"/>
        <v>0</v>
      </c>
      <c r="BE176" s="1" t="s">
        <v>65</v>
      </c>
      <c r="BF176" s="1">
        <f t="shared" si="116"/>
        <v>42</v>
      </c>
      <c r="BG176" s="1">
        <f t="shared" si="117"/>
        <v>42</v>
      </c>
      <c r="BH176" s="1">
        <f t="shared" si="95"/>
        <v>1</v>
      </c>
      <c r="BI176" s="1" t="e">
        <f>IF(BH176-#REF!=0,"DOĞRU","YANLIŞ")</f>
        <v>#REF!</v>
      </c>
      <c r="BJ176" s="1" t="e">
        <f>#REF!-BH176</f>
        <v>#REF!</v>
      </c>
      <c r="BK176" s="1">
        <v>1</v>
      </c>
      <c r="BM176" s="1">
        <v>0</v>
      </c>
      <c r="BO176" s="1">
        <v>4</v>
      </c>
      <c r="BT176" s="8">
        <f t="shared" si="118"/>
        <v>0</v>
      </c>
      <c r="BU176" s="9"/>
      <c r="BV176" s="10"/>
      <c r="BW176" s="11"/>
      <c r="BX176" s="11"/>
      <c r="BY176" s="11"/>
      <c r="BZ176" s="11"/>
      <c r="CA176" s="11"/>
      <c r="CB176" s="12"/>
      <c r="CC176" s="13"/>
      <c r="CD176" s="14"/>
      <c r="CL176" s="11"/>
      <c r="CM176" s="11"/>
      <c r="CN176" s="11"/>
      <c r="CO176" s="11"/>
      <c r="CP176" s="11"/>
      <c r="CQ176" s="54"/>
      <c r="CR176" s="46"/>
      <c r="CS176" s="48"/>
      <c r="CT176" s="48"/>
      <c r="CU176" s="48"/>
      <c r="CV176" s="48"/>
      <c r="CW176" s="49"/>
      <c r="CX176" s="49"/>
    </row>
    <row r="177" spans="1:103" hidden="1" x14ac:dyDescent="0.25">
      <c r="A177" s="1" t="s">
        <v>204</v>
      </c>
      <c r="B177" s="1" t="s">
        <v>205</v>
      </c>
      <c r="C177" s="1" t="s">
        <v>205</v>
      </c>
      <c r="D177" s="2" t="s">
        <v>63</v>
      </c>
      <c r="E177" s="2" t="s">
        <v>63</v>
      </c>
      <c r="F177" s="3" t="e">
        <f>IF(BE177="S",
IF(#REF!+BM177=2018,
IF(#REF!=1,"18-19/1",
IF(#REF!=2,"18-19/2",
IF(#REF!=3,"19-20/1",
IF(#REF!=4,"19-20/2",
IF(#REF!=5,"20-21/1",
IF(#REF!=6,"20-21/2",
IF(#REF!=7,"21-22/1",
IF(#REF!=8,"21-22/2","Hata1")))))))),
IF(#REF!+BM177=2019,
IF(#REF!=1,"19-20/1",
IF(#REF!=2,"19-20/2",
IF(#REF!=3,"20-21/1",
IF(#REF!=4,"20-21/2",
IF(#REF!=5,"21-22/1",
IF(#REF!=6,"21-22/2",
IF(#REF!=7,"22-23/1",
IF(#REF!=8,"22-23/2","Hata2")))))))),
IF(#REF!+BM177=2020,
IF(#REF!=1,"20-21/1",
IF(#REF!=2,"20-21/2",
IF(#REF!=3,"21-22/1",
IF(#REF!=4,"21-22/2",
IF(#REF!=5,"22-23/1",
IF(#REF!=6,"22-23/2",
IF(#REF!=7,"23-24/1",
IF(#REF!=8,"23-24/2","Hata3")))))))),
IF(#REF!+BM177=2021,
IF(#REF!=1,"21-22/1",
IF(#REF!=2,"21-22/2",
IF(#REF!=3,"22-23/1",
IF(#REF!=4,"22-23/2",
IF(#REF!=5,"23-24/1",
IF(#REF!=6,"23-24/2",
IF(#REF!=7,"24-25/1",
IF(#REF!=8,"24-25/2","Hata4")))))))),
IF(#REF!+BM177=2022,
IF(#REF!=1,"22-23/1",
IF(#REF!=2,"22-23/2",
IF(#REF!=3,"23-24/1",
IF(#REF!=4,"23-24/2",
IF(#REF!=5,"24-25/1",
IF(#REF!=6,"24-25/2",
IF(#REF!=7,"25-26/1",
IF(#REF!=8,"25-26/2","Hata5")))))))),
IF(#REF!+BM177=2023,
IF(#REF!=1,"23-24/1",
IF(#REF!=2,"23-24/2",
IF(#REF!=3,"24-25/1",
IF(#REF!=4,"24-25/2",
IF(#REF!=5,"25-26/1",
IF(#REF!=6,"25-26/2",
IF(#REF!=7,"26-27/1",
IF(#REF!=8,"26-27/2","Hata6")))))))),
)))))),
IF(BE177="T",
IF(#REF!+BM177=2018,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7" s="1" t="s">
        <v>216</v>
      </c>
      <c r="L177" s="2">
        <v>1171</v>
      </c>
      <c r="N177" s="2">
        <v>5</v>
      </c>
      <c r="O177" s="6">
        <f t="shared" si="81"/>
        <v>3</v>
      </c>
      <c r="P177" s="2">
        <f t="shared" si="82"/>
        <v>3</v>
      </c>
      <c r="Q177" s="2">
        <v>3</v>
      </c>
      <c r="R177" s="2">
        <v>0</v>
      </c>
      <c r="S177" s="2">
        <v>0</v>
      </c>
      <c r="X177" s="3">
        <v>3</v>
      </c>
      <c r="Y177" s="1">
        <f>VLOOKUP(X177,[23]ölçme_sistemleri!I:L,2,FALSE)</f>
        <v>2</v>
      </c>
      <c r="Z177" s="1">
        <f>VLOOKUP(X177,[23]ölçme_sistemleri!I:L,3,FALSE)</f>
        <v>1</v>
      </c>
      <c r="AA177" s="1">
        <f>VLOOKUP(X177,[23]ölçme_sistemleri!I:L,4,FALSE)</f>
        <v>1</v>
      </c>
      <c r="AB177" s="1">
        <f>$O177*[23]ölçme_sistemleri!J$13</f>
        <v>3</v>
      </c>
      <c r="AC177" s="1">
        <f>$O177*[23]ölçme_sistemleri!K$13</f>
        <v>6</v>
      </c>
      <c r="AD177" s="1">
        <f>$O177*[23]ölçme_sistemleri!L$13</f>
        <v>9</v>
      </c>
      <c r="AE177" s="1">
        <f t="shared" si="83"/>
        <v>6</v>
      </c>
      <c r="AF177" s="1">
        <f t="shared" si="84"/>
        <v>6</v>
      </c>
      <c r="AG177" s="1">
        <f t="shared" si="85"/>
        <v>9</v>
      </c>
      <c r="AH177" s="1">
        <f t="shared" si="86"/>
        <v>21</v>
      </c>
      <c r="AI177" s="1">
        <v>14</v>
      </c>
      <c r="AJ177" s="1">
        <f>VLOOKUP(X177,[23]ölçme_sistemleri!I:M,5,FALSE)</f>
        <v>3</v>
      </c>
      <c r="AK177" s="1">
        <f t="shared" si="87"/>
        <v>294</v>
      </c>
      <c r="AL177" s="1">
        <f t="shared" si="119"/>
        <v>42</v>
      </c>
      <c r="AM177" s="1">
        <f>VLOOKUP(X177,[23]ölçme_sistemleri!I:N,6,FALSE)</f>
        <v>4</v>
      </c>
      <c r="AN177" s="1">
        <v>2</v>
      </c>
      <c r="AO177" s="1">
        <f t="shared" si="88"/>
        <v>8</v>
      </c>
      <c r="AP177" s="1">
        <v>14</v>
      </c>
      <c r="AQ177" s="1">
        <f t="shared" si="105"/>
        <v>42</v>
      </c>
      <c r="AR177" s="1">
        <f t="shared" si="89"/>
        <v>113</v>
      </c>
      <c r="AS177" s="1">
        <f t="shared" si="120"/>
        <v>25</v>
      </c>
      <c r="AT177" s="1">
        <f t="shared" si="90"/>
        <v>5</v>
      </c>
      <c r="AU177" s="1">
        <f t="shared" si="106"/>
        <v>0</v>
      </c>
      <c r="AV177" s="1">
        <f t="shared" si="111"/>
        <v>0</v>
      </c>
      <c r="AW177" s="1">
        <f t="shared" si="112"/>
        <v>0</v>
      </c>
      <c r="AX177" s="1">
        <f t="shared" si="113"/>
        <v>0</v>
      </c>
      <c r="AY177" s="1">
        <f t="shared" si="91"/>
        <v>-21</v>
      </c>
      <c r="AZ177" s="1">
        <f t="shared" si="114"/>
        <v>0</v>
      </c>
      <c r="BA177" s="1">
        <f t="shared" si="92"/>
        <v>-42</v>
      </c>
      <c r="BB177" s="1">
        <f t="shared" si="115"/>
        <v>0</v>
      </c>
      <c r="BC177" s="1">
        <f t="shared" si="93"/>
        <v>-8</v>
      </c>
      <c r="BD177" s="1">
        <f t="shared" si="94"/>
        <v>0</v>
      </c>
      <c r="BE177" s="1" t="s">
        <v>65</v>
      </c>
      <c r="BF177" s="1">
        <f t="shared" si="116"/>
        <v>42</v>
      </c>
      <c r="BG177" s="1">
        <f t="shared" si="117"/>
        <v>42</v>
      </c>
      <c r="BH177" s="1">
        <f t="shared" si="95"/>
        <v>1</v>
      </c>
      <c r="BI177" s="1" t="e">
        <f>IF(BH177-#REF!=0,"DOĞRU","YANLIŞ")</f>
        <v>#REF!</v>
      </c>
      <c r="BJ177" s="1" t="e">
        <f>#REF!-BH177</f>
        <v>#REF!</v>
      </c>
      <c r="BK177" s="1">
        <v>1</v>
      </c>
      <c r="BM177" s="1">
        <v>1</v>
      </c>
      <c r="BO177" s="1">
        <v>2</v>
      </c>
      <c r="BT177" s="8">
        <f t="shared" si="118"/>
        <v>0</v>
      </c>
      <c r="BU177" s="9"/>
      <c r="BV177" s="10"/>
      <c r="BW177" s="11"/>
      <c r="BX177" s="11"/>
      <c r="BY177" s="11"/>
      <c r="BZ177" s="11"/>
      <c r="CA177" s="11"/>
      <c r="CB177" s="12"/>
      <c r="CC177" s="13"/>
      <c r="CD177" s="14"/>
      <c r="CL177" s="11"/>
      <c r="CM177" s="11"/>
      <c r="CN177" s="11"/>
      <c r="CO177" s="11"/>
      <c r="CP177" s="11"/>
      <c r="CQ177" s="54"/>
      <c r="CR177" s="46"/>
      <c r="CS177" s="48"/>
      <c r="CT177" s="48"/>
      <c r="CU177" s="48"/>
      <c r="CV177" s="48"/>
      <c r="CW177" s="49"/>
      <c r="CX177" s="49"/>
    </row>
    <row r="178" spans="1:103" hidden="1" x14ac:dyDescent="0.25">
      <c r="A178" s="41" t="s">
        <v>487</v>
      </c>
      <c r="B178" s="1" t="s">
        <v>74</v>
      </c>
      <c r="C178" s="1" t="s">
        <v>74</v>
      </c>
      <c r="D178" s="2" t="s">
        <v>63</v>
      </c>
      <c r="E178" s="2" t="s">
        <v>63</v>
      </c>
      <c r="F178" s="3" t="e">
        <f>IF(BE178="S",
IF(#REF!+BM178=2018,
IF(#REF!=1,"18-19/1",
IF(#REF!=2,"18-19/2",
IF(#REF!=3,"19-20/1",
IF(#REF!=4,"19-20/2",
IF(#REF!=5,"20-21/1",
IF(#REF!=6,"20-21/2",
IF(#REF!=7,"21-22/1",
IF(#REF!=8,"21-22/2","Hata1")))))))),
IF(#REF!+BM178=2019,
IF(#REF!=1,"19-20/1",
IF(#REF!=2,"19-20/2",
IF(#REF!=3,"20-21/1",
IF(#REF!=4,"20-21/2",
IF(#REF!=5,"21-22/1",
IF(#REF!=6,"21-22/2",
IF(#REF!=7,"22-23/1",
IF(#REF!=8,"22-23/2","Hata2")))))))),
IF(#REF!+BM178=2020,
IF(#REF!=1,"20-21/1",
IF(#REF!=2,"20-21/2",
IF(#REF!=3,"21-22/1",
IF(#REF!=4,"21-22/2",
IF(#REF!=5,"22-23/1",
IF(#REF!=6,"22-23/2",
IF(#REF!=7,"23-24/1",
IF(#REF!=8,"23-24/2","Hata3")))))))),
IF(#REF!+BM178=2021,
IF(#REF!=1,"21-22/1",
IF(#REF!=2,"21-22/2",
IF(#REF!=3,"22-23/1",
IF(#REF!=4,"22-23/2",
IF(#REF!=5,"23-24/1",
IF(#REF!=6,"23-24/2",
IF(#REF!=7,"24-25/1",
IF(#REF!=8,"24-25/2","Hata4")))))))),
IF(#REF!+BM178=2022,
IF(#REF!=1,"22-23/1",
IF(#REF!=2,"22-23/2",
IF(#REF!=3,"23-24/1",
IF(#REF!=4,"23-24/2",
IF(#REF!=5,"24-25/1",
IF(#REF!=6,"24-25/2",
IF(#REF!=7,"25-26/1",
IF(#REF!=8,"25-26/2","Hata5")))))))),
IF(#REF!+BM178=2023,
IF(#REF!=1,"23-24/1",
IF(#REF!=2,"23-24/2",
IF(#REF!=3,"24-25/1",
IF(#REF!=4,"24-25/2",
IF(#REF!=5,"25-26/1",
IF(#REF!=6,"25-26/2",
IF(#REF!=7,"26-27/1",
IF(#REF!=8,"26-27/2","Hata6")))))))),
)))))),
IF(BE178="T",
IF(#REF!+BM178=2018,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8" s="1" t="s">
        <v>216</v>
      </c>
      <c r="L178" s="2">
        <v>3537</v>
      </c>
      <c r="N178" s="31">
        <v>6</v>
      </c>
      <c r="O178" s="6">
        <f t="shared" si="81"/>
        <v>3</v>
      </c>
      <c r="P178" s="2">
        <f t="shared" si="82"/>
        <v>3</v>
      </c>
      <c r="Q178" s="2">
        <v>3</v>
      </c>
      <c r="R178" s="2">
        <v>0</v>
      </c>
      <c r="S178" s="2">
        <v>0</v>
      </c>
      <c r="X178" s="3">
        <v>2</v>
      </c>
      <c r="Y178" s="1">
        <f>VLOOKUP(X178,[23]ölçme_sistemleri!I:L,2,FALSE)</f>
        <v>0</v>
      </c>
      <c r="Z178" s="1">
        <f>VLOOKUP(X178,[23]ölçme_sistemleri!I:L,3,FALSE)</f>
        <v>2</v>
      </c>
      <c r="AA178" s="1">
        <f>VLOOKUP(X178,[23]ölçme_sistemleri!I:L,4,FALSE)</f>
        <v>1</v>
      </c>
      <c r="AB178" s="1">
        <f>$O178*[23]ölçme_sistemleri!J$13</f>
        <v>3</v>
      </c>
      <c r="AC178" s="1">
        <f>$O178*[23]ölçme_sistemleri!K$13</f>
        <v>6</v>
      </c>
      <c r="AD178" s="1">
        <f>$O178*[23]ölçme_sistemleri!L$13</f>
        <v>9</v>
      </c>
      <c r="AE178" s="1">
        <f t="shared" si="83"/>
        <v>0</v>
      </c>
      <c r="AF178" s="1">
        <f t="shared" si="84"/>
        <v>12</v>
      </c>
      <c r="AG178" s="1">
        <f t="shared" si="85"/>
        <v>9</v>
      </c>
      <c r="AH178" s="1">
        <f t="shared" si="86"/>
        <v>21</v>
      </c>
      <c r="AI178" s="1">
        <v>14</v>
      </c>
      <c r="AJ178" s="1">
        <f>VLOOKUP(X178,[23]ölçme_sistemleri!I:M,5,FALSE)</f>
        <v>2</v>
      </c>
      <c r="AK178" s="1">
        <f t="shared" si="87"/>
        <v>294</v>
      </c>
      <c r="AL178" s="1">
        <f t="shared" si="119"/>
        <v>42</v>
      </c>
      <c r="AM178" s="1">
        <f>VLOOKUP(X178,[23]ölçme_sistemleri!I:N,6,FALSE)</f>
        <v>3</v>
      </c>
      <c r="AN178" s="1">
        <v>2</v>
      </c>
      <c r="AO178" s="1">
        <f t="shared" si="88"/>
        <v>6</v>
      </c>
      <c r="AP178" s="1">
        <v>14</v>
      </c>
      <c r="AQ178" s="1">
        <f t="shared" si="105"/>
        <v>42</v>
      </c>
      <c r="AR178" s="1">
        <f t="shared" si="89"/>
        <v>111</v>
      </c>
      <c r="AS178" s="1">
        <f t="shared" si="120"/>
        <v>25</v>
      </c>
      <c r="AT178" s="1">
        <f t="shared" si="90"/>
        <v>4</v>
      </c>
      <c r="AU178" s="1">
        <f t="shared" si="106"/>
        <v>-2</v>
      </c>
      <c r="AV178" s="1">
        <f t="shared" si="111"/>
        <v>0</v>
      </c>
      <c r="AW178" s="1">
        <f t="shared" si="112"/>
        <v>0</v>
      </c>
      <c r="AX178" s="1">
        <f t="shared" si="113"/>
        <v>0</v>
      </c>
      <c r="AY178" s="1">
        <f t="shared" si="91"/>
        <v>-21</v>
      </c>
      <c r="AZ178" s="1">
        <f t="shared" si="114"/>
        <v>0</v>
      </c>
      <c r="BA178" s="1">
        <f t="shared" si="92"/>
        <v>-42</v>
      </c>
      <c r="BB178" s="1">
        <f t="shared" si="115"/>
        <v>0</v>
      </c>
      <c r="BC178" s="1">
        <f t="shared" si="93"/>
        <v>-6</v>
      </c>
      <c r="BD178" s="1">
        <f t="shared" si="94"/>
        <v>0</v>
      </c>
      <c r="BE178" s="1" t="s">
        <v>65</v>
      </c>
      <c r="BF178" s="1">
        <f t="shared" si="116"/>
        <v>42</v>
      </c>
      <c r="BG178" s="1">
        <f t="shared" si="117"/>
        <v>42</v>
      </c>
      <c r="BH178" s="1">
        <f t="shared" si="95"/>
        <v>1</v>
      </c>
      <c r="BI178" s="1" t="e">
        <f>IF(BH178-#REF!=0,"DOĞRU","YANLIŞ")</f>
        <v>#REF!</v>
      </c>
      <c r="BJ178" s="1" t="e">
        <f>#REF!-BH178</f>
        <v>#REF!</v>
      </c>
      <c r="BK178" s="1">
        <v>1</v>
      </c>
      <c r="BM178" s="1">
        <v>1</v>
      </c>
      <c r="BO178" s="1">
        <v>2</v>
      </c>
      <c r="BT178" s="8">
        <f t="shared" si="118"/>
        <v>0</v>
      </c>
      <c r="BU178" s="9"/>
      <c r="BV178" s="10"/>
      <c r="BW178" s="11"/>
      <c r="BX178" s="11"/>
      <c r="BY178" s="11"/>
      <c r="BZ178" s="11"/>
      <c r="CA178" s="11"/>
      <c r="CB178" s="12"/>
      <c r="CC178" s="13"/>
      <c r="CD178" s="14"/>
      <c r="CL178" s="11"/>
      <c r="CM178" s="11"/>
      <c r="CN178" s="11"/>
      <c r="CO178" s="11"/>
      <c r="CP178" s="11"/>
      <c r="CQ178" s="54"/>
      <c r="CR178" s="46"/>
      <c r="CS178" s="54"/>
      <c r="CT178" s="48"/>
      <c r="CU178" s="48"/>
      <c r="CV178" s="48"/>
      <c r="CW178" s="49"/>
      <c r="CX178" s="49"/>
    </row>
    <row r="179" spans="1:103" hidden="1" x14ac:dyDescent="0.25">
      <c r="A179" s="1" t="s">
        <v>390</v>
      </c>
      <c r="B179" s="1" t="s">
        <v>391</v>
      </c>
      <c r="C179" s="1" t="s">
        <v>391</v>
      </c>
      <c r="D179" s="2" t="s">
        <v>63</v>
      </c>
      <c r="E179" s="2" t="s">
        <v>63</v>
      </c>
      <c r="F179" s="3" t="e">
        <f>IF(BE179="S",
IF(#REF!+BM179=2018,
IF(#REF!=1,"18-19/1",
IF(#REF!=2,"18-19/2",
IF(#REF!=3,"19-20/1",
IF(#REF!=4,"19-20/2",
IF(#REF!=5,"20-21/1",
IF(#REF!=6,"20-21/2",
IF(#REF!=7,"21-22/1",
IF(#REF!=8,"21-22/2","Hata1")))))))),
IF(#REF!+BM179=2019,
IF(#REF!=1,"19-20/1",
IF(#REF!=2,"19-20/2",
IF(#REF!=3,"20-21/1",
IF(#REF!=4,"20-21/2",
IF(#REF!=5,"21-22/1",
IF(#REF!=6,"21-22/2",
IF(#REF!=7,"22-23/1",
IF(#REF!=8,"22-23/2","Hata2")))))))),
IF(#REF!+BM179=2020,
IF(#REF!=1,"20-21/1",
IF(#REF!=2,"20-21/2",
IF(#REF!=3,"21-22/1",
IF(#REF!=4,"21-22/2",
IF(#REF!=5,"22-23/1",
IF(#REF!=6,"22-23/2",
IF(#REF!=7,"23-24/1",
IF(#REF!=8,"23-24/2","Hata3")))))))),
IF(#REF!+BM179=2021,
IF(#REF!=1,"21-22/1",
IF(#REF!=2,"21-22/2",
IF(#REF!=3,"22-23/1",
IF(#REF!=4,"22-23/2",
IF(#REF!=5,"23-24/1",
IF(#REF!=6,"23-24/2",
IF(#REF!=7,"24-25/1",
IF(#REF!=8,"24-25/2","Hata4")))))))),
IF(#REF!+BM179=2022,
IF(#REF!=1,"22-23/1",
IF(#REF!=2,"22-23/2",
IF(#REF!=3,"23-24/1",
IF(#REF!=4,"23-24/2",
IF(#REF!=5,"24-25/1",
IF(#REF!=6,"24-25/2",
IF(#REF!=7,"25-26/1",
IF(#REF!=8,"25-26/2","Hata5")))))))),
IF(#REF!+BM179=2023,
IF(#REF!=1,"23-24/1",
IF(#REF!=2,"23-24/2",
IF(#REF!=3,"24-25/1",
IF(#REF!=4,"24-25/2",
IF(#REF!=5,"25-26/1",
IF(#REF!=6,"25-26/2",
IF(#REF!=7,"26-27/1",
IF(#REF!=8,"26-27/2","Hata6")))))))),
)))))),
IF(BE179="T",
IF(#REF!+BM179=2018,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IF(#REF!+BM179=2019,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IF(#REF!+BM179=2020,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IF(#REF!+BM179=2021,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IF(#REF!+BM179=2022,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IF(#REF!+BM179=2023,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79" s="1" t="s">
        <v>216</v>
      </c>
      <c r="L179" s="2">
        <v>3177</v>
      </c>
      <c r="N179" s="2">
        <v>5</v>
      </c>
      <c r="O179" s="6">
        <f t="shared" si="81"/>
        <v>3</v>
      </c>
      <c r="P179" s="2">
        <f t="shared" si="82"/>
        <v>3</v>
      </c>
      <c r="Q179" s="2">
        <v>3</v>
      </c>
      <c r="R179" s="2">
        <v>0</v>
      </c>
      <c r="S179" s="2">
        <v>0</v>
      </c>
      <c r="X179" s="3">
        <v>3</v>
      </c>
      <c r="Y179" s="1">
        <f>VLOOKUP(X179,[23]ölçme_sistemleri!I:L,2,FALSE)</f>
        <v>2</v>
      </c>
      <c r="Z179" s="1">
        <f>VLOOKUP(X179,[23]ölçme_sistemleri!I:L,3,FALSE)</f>
        <v>1</v>
      </c>
      <c r="AA179" s="1">
        <f>VLOOKUP(X179,[23]ölçme_sistemleri!I:L,4,FALSE)</f>
        <v>1</v>
      </c>
      <c r="AB179" s="1">
        <f>$O179*[23]ölçme_sistemleri!J$13</f>
        <v>3</v>
      </c>
      <c r="AC179" s="1">
        <f>$O179*[23]ölçme_sistemleri!K$13</f>
        <v>6</v>
      </c>
      <c r="AD179" s="1">
        <f>$O179*[23]ölçme_sistemleri!L$13</f>
        <v>9</v>
      </c>
      <c r="AE179" s="1">
        <f t="shared" si="83"/>
        <v>6</v>
      </c>
      <c r="AF179" s="1">
        <f t="shared" si="84"/>
        <v>6</v>
      </c>
      <c r="AG179" s="1">
        <f t="shared" si="85"/>
        <v>9</v>
      </c>
      <c r="AH179" s="1">
        <f t="shared" si="86"/>
        <v>21</v>
      </c>
      <c r="AI179" s="1">
        <v>14</v>
      </c>
      <c r="AJ179" s="1">
        <f>VLOOKUP(X179,[23]ölçme_sistemleri!I:M,5,FALSE)</f>
        <v>3</v>
      </c>
      <c r="AK179" s="1">
        <f t="shared" si="87"/>
        <v>294</v>
      </c>
      <c r="AL179" s="1">
        <f t="shared" si="119"/>
        <v>42</v>
      </c>
      <c r="AM179" s="1">
        <f>VLOOKUP(X179,[23]ölçme_sistemleri!I:N,6,FALSE)</f>
        <v>4</v>
      </c>
      <c r="AN179" s="1">
        <v>2</v>
      </c>
      <c r="AO179" s="1">
        <f t="shared" si="88"/>
        <v>8</v>
      </c>
      <c r="AP179" s="1">
        <v>14</v>
      </c>
      <c r="AQ179" s="1">
        <f t="shared" si="105"/>
        <v>42</v>
      </c>
      <c r="AR179" s="1">
        <f t="shared" si="89"/>
        <v>113</v>
      </c>
      <c r="AS179" s="1">
        <f t="shared" si="120"/>
        <v>25</v>
      </c>
      <c r="AT179" s="1">
        <f t="shared" si="90"/>
        <v>5</v>
      </c>
      <c r="AU179" s="1">
        <f t="shared" si="106"/>
        <v>0</v>
      </c>
      <c r="AV179" s="1">
        <f t="shared" si="111"/>
        <v>0</v>
      </c>
      <c r="AW179" s="1">
        <f t="shared" si="112"/>
        <v>0</v>
      </c>
      <c r="AX179" s="1">
        <f t="shared" si="113"/>
        <v>0</v>
      </c>
      <c r="AY179" s="1">
        <f t="shared" si="91"/>
        <v>-21</v>
      </c>
      <c r="AZ179" s="1">
        <f t="shared" si="114"/>
        <v>0</v>
      </c>
      <c r="BA179" s="1">
        <f t="shared" si="92"/>
        <v>-42</v>
      </c>
      <c r="BB179" s="1">
        <f t="shared" si="115"/>
        <v>0</v>
      </c>
      <c r="BC179" s="1">
        <f t="shared" si="93"/>
        <v>-8</v>
      </c>
      <c r="BD179" s="1">
        <f t="shared" si="94"/>
        <v>0</v>
      </c>
      <c r="BE179" s="1" t="s">
        <v>65</v>
      </c>
      <c r="BF179" s="1">
        <f t="shared" si="116"/>
        <v>42</v>
      </c>
      <c r="BG179" s="1">
        <f t="shared" si="117"/>
        <v>42</v>
      </c>
      <c r="BH179" s="1">
        <f t="shared" si="95"/>
        <v>1</v>
      </c>
      <c r="BI179" s="1" t="e">
        <f>IF(BH179-#REF!=0,"DOĞRU","YANLIŞ")</f>
        <v>#REF!</v>
      </c>
      <c r="BJ179" s="1" t="e">
        <f>#REF!-BH179</f>
        <v>#REF!</v>
      </c>
      <c r="BK179" s="1">
        <v>1</v>
      </c>
      <c r="BM179" s="1">
        <v>0</v>
      </c>
      <c r="BO179" s="1">
        <v>4</v>
      </c>
      <c r="BT179" s="8">
        <f t="shared" si="118"/>
        <v>0</v>
      </c>
      <c r="BU179" s="9"/>
      <c r="BV179" s="10"/>
      <c r="BW179" s="11"/>
      <c r="BX179" s="11"/>
      <c r="BY179" s="11"/>
      <c r="BZ179" s="11"/>
      <c r="CA179" s="11"/>
      <c r="CB179" s="12"/>
      <c r="CC179" s="13"/>
      <c r="CD179" s="14"/>
      <c r="CL179" s="11"/>
      <c r="CM179" s="11"/>
      <c r="CN179" s="11"/>
      <c r="CO179" s="11"/>
      <c r="CP179" s="11"/>
      <c r="CQ179" s="54"/>
      <c r="CR179" s="46"/>
      <c r="CS179" s="54"/>
      <c r="CT179" s="48"/>
      <c r="CU179" s="48"/>
      <c r="CV179" s="48"/>
      <c r="CW179" s="49"/>
      <c r="CX179" s="49"/>
    </row>
    <row r="180" spans="1:103" hidden="1" x14ac:dyDescent="0.25">
      <c r="A180" s="1" t="s">
        <v>219</v>
      </c>
      <c r="B180" s="1" t="s">
        <v>220</v>
      </c>
      <c r="C180" s="1" t="s">
        <v>220</v>
      </c>
      <c r="D180" s="2" t="s">
        <v>63</v>
      </c>
      <c r="E180" s="2" t="s">
        <v>63</v>
      </c>
      <c r="F180" s="3" t="e">
        <f>IF(BE180="S",
IF(#REF!+BM180=2018,
IF(#REF!=1,"18-19/1",
IF(#REF!=2,"18-19/2",
IF(#REF!=3,"19-20/1",
IF(#REF!=4,"19-20/2",
IF(#REF!=5,"20-21/1",
IF(#REF!=6,"20-21/2",
IF(#REF!=7,"21-22/1",
IF(#REF!=8,"21-22/2","Hata1")))))))),
IF(#REF!+BM180=2019,
IF(#REF!=1,"19-20/1",
IF(#REF!=2,"19-20/2",
IF(#REF!=3,"20-21/1",
IF(#REF!=4,"20-21/2",
IF(#REF!=5,"21-22/1",
IF(#REF!=6,"21-22/2",
IF(#REF!=7,"22-23/1",
IF(#REF!=8,"22-23/2","Hata2")))))))),
IF(#REF!+BM180=2020,
IF(#REF!=1,"20-21/1",
IF(#REF!=2,"20-21/2",
IF(#REF!=3,"21-22/1",
IF(#REF!=4,"21-22/2",
IF(#REF!=5,"22-23/1",
IF(#REF!=6,"22-23/2",
IF(#REF!=7,"23-24/1",
IF(#REF!=8,"23-24/2","Hata3")))))))),
IF(#REF!+BM180=2021,
IF(#REF!=1,"21-22/1",
IF(#REF!=2,"21-22/2",
IF(#REF!=3,"22-23/1",
IF(#REF!=4,"22-23/2",
IF(#REF!=5,"23-24/1",
IF(#REF!=6,"23-24/2",
IF(#REF!=7,"24-25/1",
IF(#REF!=8,"24-25/2","Hata4")))))))),
IF(#REF!+BM180=2022,
IF(#REF!=1,"22-23/1",
IF(#REF!=2,"22-23/2",
IF(#REF!=3,"23-24/1",
IF(#REF!=4,"23-24/2",
IF(#REF!=5,"24-25/1",
IF(#REF!=6,"24-25/2",
IF(#REF!=7,"25-26/1",
IF(#REF!=8,"25-26/2","Hata5")))))))),
IF(#REF!+BM180=2023,
IF(#REF!=1,"23-24/1",
IF(#REF!=2,"23-24/2",
IF(#REF!=3,"24-25/1",
IF(#REF!=4,"24-25/2",
IF(#REF!=5,"25-26/1",
IF(#REF!=6,"25-26/2",
IF(#REF!=7,"26-27/1",
IF(#REF!=8,"26-27/2","Hata6")))))))),
)))))),
IF(BE180="T",
IF(#REF!+BM180=2018,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0" s="1" t="s">
        <v>216</v>
      </c>
      <c r="L180" s="2">
        <v>3172</v>
      </c>
      <c r="N180" s="2">
        <v>5</v>
      </c>
      <c r="O180" s="6">
        <f t="shared" si="81"/>
        <v>3</v>
      </c>
      <c r="P180" s="2">
        <f t="shared" si="82"/>
        <v>3</v>
      </c>
      <c r="Q180" s="2">
        <v>3</v>
      </c>
      <c r="R180" s="2">
        <v>0</v>
      </c>
      <c r="S180" s="2">
        <v>0</v>
      </c>
      <c r="X180" s="3">
        <v>3</v>
      </c>
      <c r="Y180" s="1">
        <f>VLOOKUP(X180,[23]ölçme_sistemleri!I:L,2,FALSE)</f>
        <v>2</v>
      </c>
      <c r="Z180" s="1">
        <f>VLOOKUP(X180,[23]ölçme_sistemleri!I:L,3,FALSE)</f>
        <v>1</v>
      </c>
      <c r="AA180" s="1">
        <f>VLOOKUP(X180,[23]ölçme_sistemleri!I:L,4,FALSE)</f>
        <v>1</v>
      </c>
      <c r="AB180" s="1">
        <f>$O180*[23]ölçme_sistemleri!J$13</f>
        <v>3</v>
      </c>
      <c r="AC180" s="1">
        <f>$O180*[23]ölçme_sistemleri!K$13</f>
        <v>6</v>
      </c>
      <c r="AD180" s="1">
        <f>$O180*[23]ölçme_sistemleri!L$13</f>
        <v>9</v>
      </c>
      <c r="AE180" s="1">
        <f t="shared" si="83"/>
        <v>6</v>
      </c>
      <c r="AF180" s="1">
        <f t="shared" si="84"/>
        <v>6</v>
      </c>
      <c r="AG180" s="1">
        <f t="shared" si="85"/>
        <v>9</v>
      </c>
      <c r="AH180" s="1">
        <f t="shared" si="86"/>
        <v>21</v>
      </c>
      <c r="AI180" s="1">
        <v>14</v>
      </c>
      <c r="AJ180" s="1">
        <f>VLOOKUP(X180,[23]ölçme_sistemleri!I:M,5,FALSE)</f>
        <v>3</v>
      </c>
      <c r="AK180" s="1">
        <f t="shared" si="87"/>
        <v>294</v>
      </c>
      <c r="AL180" s="1">
        <f t="shared" si="119"/>
        <v>42</v>
      </c>
      <c r="AM180" s="1">
        <f>VLOOKUP(X180,[23]ölçme_sistemleri!I:N,6,FALSE)</f>
        <v>4</v>
      </c>
      <c r="AN180" s="1">
        <v>2</v>
      </c>
      <c r="AO180" s="1">
        <f t="shared" si="88"/>
        <v>8</v>
      </c>
      <c r="AP180" s="1">
        <v>14</v>
      </c>
      <c r="AQ180" s="1">
        <f t="shared" si="105"/>
        <v>42</v>
      </c>
      <c r="AR180" s="1">
        <f t="shared" si="89"/>
        <v>113</v>
      </c>
      <c r="AS180" s="1">
        <f t="shared" ref="AS180:AS186" si="121">IF(BE180="s",25,30)</f>
        <v>25</v>
      </c>
      <c r="AT180" s="1">
        <f t="shared" si="90"/>
        <v>5</v>
      </c>
      <c r="AU180" s="1">
        <f t="shared" si="106"/>
        <v>0</v>
      </c>
      <c r="AV180" s="1">
        <f t="shared" si="111"/>
        <v>0</v>
      </c>
      <c r="AW180" s="1">
        <f t="shared" si="112"/>
        <v>0</v>
      </c>
      <c r="AX180" s="1">
        <f t="shared" si="113"/>
        <v>0</v>
      </c>
      <c r="AY180" s="1">
        <f t="shared" si="91"/>
        <v>-21</v>
      </c>
      <c r="AZ180" s="1">
        <f t="shared" si="114"/>
        <v>0</v>
      </c>
      <c r="BA180" s="1">
        <f t="shared" si="92"/>
        <v>-42</v>
      </c>
      <c r="BB180" s="1">
        <f t="shared" si="115"/>
        <v>0</v>
      </c>
      <c r="BC180" s="1">
        <f t="shared" si="93"/>
        <v>-8</v>
      </c>
      <c r="BD180" s="1">
        <f t="shared" si="94"/>
        <v>0</v>
      </c>
      <c r="BE180" s="1" t="s">
        <v>65</v>
      </c>
      <c r="BF180" s="1">
        <f t="shared" si="116"/>
        <v>42</v>
      </c>
      <c r="BG180" s="1">
        <f t="shared" si="117"/>
        <v>42</v>
      </c>
      <c r="BH180" s="1">
        <f t="shared" si="95"/>
        <v>1</v>
      </c>
      <c r="BI180" s="1" t="e">
        <f>IF(BH180-#REF!=0,"DOĞRU","YANLIŞ")</f>
        <v>#REF!</v>
      </c>
      <c r="BJ180" s="1" t="e">
        <f>#REF!-BH180</f>
        <v>#REF!</v>
      </c>
      <c r="BK180" s="1">
        <v>1</v>
      </c>
      <c r="BM180" s="1">
        <v>1</v>
      </c>
      <c r="BO180" s="1">
        <v>2</v>
      </c>
      <c r="BT180" s="8">
        <f t="shared" si="118"/>
        <v>0</v>
      </c>
      <c r="BU180" s="9"/>
      <c r="BV180" s="10"/>
      <c r="BW180" s="11"/>
      <c r="BX180" s="11"/>
      <c r="BY180" s="11"/>
      <c r="BZ180" s="11"/>
      <c r="CA180" s="11"/>
      <c r="CB180" s="12"/>
      <c r="CC180" s="13"/>
      <c r="CD180" s="14"/>
      <c r="CL180" s="11"/>
      <c r="CM180" s="11"/>
      <c r="CN180" s="11"/>
      <c r="CO180" s="11"/>
      <c r="CP180" s="11"/>
      <c r="CQ180" s="46"/>
      <c r="CR180" s="46"/>
      <c r="CS180" s="48"/>
      <c r="CT180" s="48"/>
      <c r="CU180" s="48"/>
      <c r="CV180" s="48"/>
      <c r="CW180" s="49"/>
      <c r="CX180" s="49"/>
    </row>
    <row r="181" spans="1:103" hidden="1" x14ac:dyDescent="0.25">
      <c r="A181" s="41" t="s">
        <v>129</v>
      </c>
      <c r="B181" s="1" t="s">
        <v>130</v>
      </c>
      <c r="C181" s="1" t="s">
        <v>130</v>
      </c>
      <c r="D181" s="2" t="s">
        <v>63</v>
      </c>
      <c r="E181" s="2" t="s">
        <v>63</v>
      </c>
      <c r="F181" s="3" t="e">
        <f>IF(BE181="S",
IF(#REF!+BM181=2018,
IF(#REF!=1,"18-19/1",
IF(#REF!=2,"18-19/2",
IF(#REF!=3,"19-20/1",
IF(#REF!=4,"19-20/2",
IF(#REF!=5,"20-21/1",
IF(#REF!=6,"20-21/2",
IF(#REF!=7,"21-22/1",
IF(#REF!=8,"21-22/2","Hata1")))))))),
IF(#REF!+BM181=2019,
IF(#REF!=1,"19-20/1",
IF(#REF!=2,"19-20/2",
IF(#REF!=3,"20-21/1",
IF(#REF!=4,"20-21/2",
IF(#REF!=5,"21-22/1",
IF(#REF!=6,"21-22/2",
IF(#REF!=7,"22-23/1",
IF(#REF!=8,"22-23/2","Hata2")))))))),
IF(#REF!+BM181=2020,
IF(#REF!=1,"20-21/1",
IF(#REF!=2,"20-21/2",
IF(#REF!=3,"21-22/1",
IF(#REF!=4,"21-22/2",
IF(#REF!=5,"22-23/1",
IF(#REF!=6,"22-23/2",
IF(#REF!=7,"23-24/1",
IF(#REF!=8,"23-24/2","Hata3")))))))),
IF(#REF!+BM181=2021,
IF(#REF!=1,"21-22/1",
IF(#REF!=2,"21-22/2",
IF(#REF!=3,"22-23/1",
IF(#REF!=4,"22-23/2",
IF(#REF!=5,"23-24/1",
IF(#REF!=6,"23-24/2",
IF(#REF!=7,"24-25/1",
IF(#REF!=8,"24-25/2","Hata4")))))))),
IF(#REF!+BM181=2022,
IF(#REF!=1,"22-23/1",
IF(#REF!=2,"22-23/2",
IF(#REF!=3,"23-24/1",
IF(#REF!=4,"23-24/2",
IF(#REF!=5,"24-25/1",
IF(#REF!=6,"24-25/2",
IF(#REF!=7,"25-26/1",
IF(#REF!=8,"25-26/2","Hata5")))))))),
IF(#REF!+BM181=2023,
IF(#REF!=1,"23-24/1",
IF(#REF!=2,"23-24/2",
IF(#REF!=3,"24-25/1",
IF(#REF!=4,"24-25/2",
IF(#REF!=5,"25-26/1",
IF(#REF!=6,"25-26/2",
IF(#REF!=7,"26-27/1",
IF(#REF!=8,"26-27/2","Hata6")))))))),
)))))),
IF(BE181="T",
IF(#REF!+BM181=2018,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1" s="1" t="s">
        <v>216</v>
      </c>
      <c r="L181" s="31">
        <v>3397</v>
      </c>
      <c r="N181" s="2">
        <v>4</v>
      </c>
      <c r="O181" s="6">
        <f t="shared" si="81"/>
        <v>3</v>
      </c>
      <c r="P181" s="2">
        <f t="shared" si="82"/>
        <v>3</v>
      </c>
      <c r="Q181" s="2">
        <v>0</v>
      </c>
      <c r="R181" s="2">
        <v>0</v>
      </c>
      <c r="S181" s="31">
        <v>3</v>
      </c>
      <c r="X181" s="3">
        <v>2</v>
      </c>
      <c r="Y181" s="1">
        <f>VLOOKUP(X181,[23]ölçme_sistemleri!I:L,2,FALSE)</f>
        <v>0</v>
      </c>
      <c r="Z181" s="1">
        <f>VLOOKUP(X181,[23]ölçme_sistemleri!I:L,3,FALSE)</f>
        <v>2</v>
      </c>
      <c r="AA181" s="1">
        <f>VLOOKUP(X181,[23]ölçme_sistemleri!I:L,4,FALSE)</f>
        <v>1</v>
      </c>
      <c r="AB181" s="1">
        <f>$O181*[23]ölçme_sistemleri!J$13</f>
        <v>3</v>
      </c>
      <c r="AC181" s="1">
        <f>$O181*[23]ölçme_sistemleri!K$13</f>
        <v>6</v>
      </c>
      <c r="AD181" s="1">
        <f>$O181*[23]ölçme_sistemleri!L$13</f>
        <v>9</v>
      </c>
      <c r="AE181" s="1">
        <f t="shared" si="83"/>
        <v>0</v>
      </c>
      <c r="AF181" s="1">
        <f t="shared" si="84"/>
        <v>12</v>
      </c>
      <c r="AG181" s="1">
        <f t="shared" si="85"/>
        <v>9</v>
      </c>
      <c r="AH181" s="1">
        <f t="shared" si="86"/>
        <v>21</v>
      </c>
      <c r="AI181" s="1">
        <v>14</v>
      </c>
      <c r="AJ181" s="1">
        <f>VLOOKUP(X181,[23]ölçme_sistemleri!I:M,5,FALSE)</f>
        <v>2</v>
      </c>
      <c r="AK181" s="1">
        <f t="shared" si="87"/>
        <v>294</v>
      </c>
      <c r="AL181" s="1">
        <f t="shared" si="119"/>
        <v>42</v>
      </c>
      <c r="AM181" s="1">
        <f>VLOOKUP(X181,[23]ölçme_sistemleri!I:N,6,FALSE)</f>
        <v>3</v>
      </c>
      <c r="AN181" s="1">
        <v>2</v>
      </c>
      <c r="AO181" s="1">
        <f t="shared" si="88"/>
        <v>6</v>
      </c>
      <c r="AP181" s="1">
        <v>14</v>
      </c>
      <c r="AQ181" s="1">
        <f t="shared" si="105"/>
        <v>42</v>
      </c>
      <c r="AR181" s="1">
        <f t="shared" si="89"/>
        <v>111</v>
      </c>
      <c r="AS181" s="1">
        <f t="shared" si="121"/>
        <v>25</v>
      </c>
      <c r="AT181" s="1">
        <f t="shared" si="90"/>
        <v>4</v>
      </c>
      <c r="AU181" s="1">
        <f t="shared" si="106"/>
        <v>0</v>
      </c>
      <c r="AV181" s="1">
        <f t="shared" si="111"/>
        <v>0</v>
      </c>
      <c r="AW181" s="1">
        <f t="shared" si="112"/>
        <v>0</v>
      </c>
      <c r="AX181" s="1">
        <f t="shared" si="113"/>
        <v>0</v>
      </c>
      <c r="AY181" s="1">
        <f t="shared" si="91"/>
        <v>-21</v>
      </c>
      <c r="AZ181" s="1">
        <f t="shared" si="114"/>
        <v>0</v>
      </c>
      <c r="BA181" s="1">
        <f t="shared" si="92"/>
        <v>-42</v>
      </c>
      <c r="BB181" s="1">
        <f t="shared" si="115"/>
        <v>0</v>
      </c>
      <c r="BC181" s="1">
        <f t="shared" si="93"/>
        <v>-6</v>
      </c>
      <c r="BD181" s="1">
        <f t="shared" si="94"/>
        <v>0</v>
      </c>
      <c r="BE181" s="1" t="s">
        <v>65</v>
      </c>
      <c r="BF181" s="1">
        <f t="shared" si="116"/>
        <v>42</v>
      </c>
      <c r="BG181" s="1">
        <f t="shared" si="117"/>
        <v>42</v>
      </c>
      <c r="BH181" s="1">
        <f t="shared" si="95"/>
        <v>1</v>
      </c>
      <c r="BI181" s="1" t="e">
        <f>IF(BH181-#REF!=0,"DOĞRU","YANLIŞ")</f>
        <v>#REF!</v>
      </c>
      <c r="BJ181" s="1" t="e">
        <f>#REF!-BH181</f>
        <v>#REF!</v>
      </c>
      <c r="BK181" s="1">
        <v>0</v>
      </c>
      <c r="BM181" s="1">
        <v>1</v>
      </c>
      <c r="BO181" s="1">
        <v>2</v>
      </c>
      <c r="BT181" s="8">
        <f t="shared" si="118"/>
        <v>0</v>
      </c>
      <c r="BU181" s="9"/>
      <c r="BV181" s="10"/>
      <c r="BW181" s="11"/>
      <c r="BX181" s="11"/>
      <c r="BY181" s="11"/>
      <c r="BZ181" s="11"/>
      <c r="CA181" s="11"/>
      <c r="CB181" s="12"/>
      <c r="CC181" s="13"/>
      <c r="CD181" s="14"/>
      <c r="CL181" s="11"/>
      <c r="CM181" s="11"/>
      <c r="CN181" s="11"/>
      <c r="CO181" s="11"/>
      <c r="CP181" s="11"/>
      <c r="CQ181" s="46"/>
      <c r="CR181" s="46"/>
      <c r="CS181" s="48"/>
      <c r="CT181" s="48"/>
      <c r="CU181" s="48"/>
      <c r="CV181" s="48"/>
      <c r="CW181" s="49"/>
      <c r="CX181" s="49"/>
    </row>
    <row r="182" spans="1:103" hidden="1" x14ac:dyDescent="0.25">
      <c r="A182" s="1" t="s">
        <v>217</v>
      </c>
      <c r="B182" s="1" t="s">
        <v>218</v>
      </c>
      <c r="C182" s="1" t="s">
        <v>218</v>
      </c>
      <c r="D182" s="2" t="s">
        <v>63</v>
      </c>
      <c r="E182" s="2" t="s">
        <v>63</v>
      </c>
      <c r="F182" s="3" t="e">
        <f>IF(BE182="S",
IF(#REF!+BM182=2018,
IF(#REF!=1,"18-19/1",
IF(#REF!=2,"18-19/2",
IF(#REF!=3,"19-20/1",
IF(#REF!=4,"19-20/2",
IF(#REF!=5,"20-21/1",
IF(#REF!=6,"20-21/2",
IF(#REF!=7,"21-22/1",
IF(#REF!=8,"21-22/2","Hata1")))))))),
IF(#REF!+BM182=2019,
IF(#REF!=1,"19-20/1",
IF(#REF!=2,"19-20/2",
IF(#REF!=3,"20-21/1",
IF(#REF!=4,"20-21/2",
IF(#REF!=5,"21-22/1",
IF(#REF!=6,"21-22/2",
IF(#REF!=7,"22-23/1",
IF(#REF!=8,"22-23/2","Hata2")))))))),
IF(#REF!+BM182=2020,
IF(#REF!=1,"20-21/1",
IF(#REF!=2,"20-21/2",
IF(#REF!=3,"21-22/1",
IF(#REF!=4,"21-22/2",
IF(#REF!=5,"22-23/1",
IF(#REF!=6,"22-23/2",
IF(#REF!=7,"23-24/1",
IF(#REF!=8,"23-24/2","Hata3")))))))),
IF(#REF!+BM182=2021,
IF(#REF!=1,"21-22/1",
IF(#REF!=2,"21-22/2",
IF(#REF!=3,"22-23/1",
IF(#REF!=4,"22-23/2",
IF(#REF!=5,"23-24/1",
IF(#REF!=6,"23-24/2",
IF(#REF!=7,"24-25/1",
IF(#REF!=8,"24-25/2","Hata4")))))))),
IF(#REF!+BM182=2022,
IF(#REF!=1,"22-23/1",
IF(#REF!=2,"22-23/2",
IF(#REF!=3,"23-24/1",
IF(#REF!=4,"23-24/2",
IF(#REF!=5,"24-25/1",
IF(#REF!=6,"24-25/2",
IF(#REF!=7,"25-26/1",
IF(#REF!=8,"25-26/2","Hata5")))))))),
IF(#REF!+BM182=2023,
IF(#REF!=1,"23-24/1",
IF(#REF!=2,"23-24/2",
IF(#REF!=3,"24-25/1",
IF(#REF!=4,"24-25/2",
IF(#REF!=5,"25-26/1",
IF(#REF!=6,"25-26/2",
IF(#REF!=7,"26-27/1",
IF(#REF!=8,"26-27/2","Hata6")))))))),
)))))),
IF(BE182="T",
IF(#REF!+BM182=2018,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2" s="1" t="s">
        <v>216</v>
      </c>
      <c r="L182" s="2">
        <v>3171</v>
      </c>
      <c r="N182" s="2">
        <v>4</v>
      </c>
      <c r="O182" s="6">
        <f t="shared" si="81"/>
        <v>3</v>
      </c>
      <c r="P182" s="2">
        <f t="shared" si="82"/>
        <v>3</v>
      </c>
      <c r="Q182" s="2">
        <v>3</v>
      </c>
      <c r="R182" s="2">
        <v>0</v>
      </c>
      <c r="S182" s="2">
        <v>0</v>
      </c>
      <c r="X182" s="3">
        <v>2</v>
      </c>
      <c r="Y182" s="1">
        <f>VLOOKUP(X182,[23]ölçme_sistemleri!I:L,2,FALSE)</f>
        <v>0</v>
      </c>
      <c r="Z182" s="1">
        <f>VLOOKUP(X182,[23]ölçme_sistemleri!I:L,3,FALSE)</f>
        <v>2</v>
      </c>
      <c r="AA182" s="1">
        <f>VLOOKUP(X182,[23]ölçme_sistemleri!I:L,4,FALSE)</f>
        <v>1</v>
      </c>
      <c r="AB182" s="1">
        <f>$O182*[23]ölçme_sistemleri!J$13</f>
        <v>3</v>
      </c>
      <c r="AC182" s="1">
        <f>$O182*[23]ölçme_sistemleri!K$13</f>
        <v>6</v>
      </c>
      <c r="AD182" s="1">
        <f>$O182*[23]ölçme_sistemleri!L$13</f>
        <v>9</v>
      </c>
      <c r="AE182" s="1">
        <f t="shared" si="83"/>
        <v>0</v>
      </c>
      <c r="AF182" s="1">
        <f t="shared" si="84"/>
        <v>12</v>
      </c>
      <c r="AG182" s="1">
        <f t="shared" si="85"/>
        <v>9</v>
      </c>
      <c r="AH182" s="1">
        <f t="shared" si="86"/>
        <v>21</v>
      </c>
      <c r="AI182" s="1">
        <v>14</v>
      </c>
      <c r="AJ182" s="1">
        <f>VLOOKUP(X182,[23]ölçme_sistemleri!I:M,5,FALSE)</f>
        <v>2</v>
      </c>
      <c r="AK182" s="1">
        <f t="shared" si="87"/>
        <v>294</v>
      </c>
      <c r="AL182" s="1">
        <f t="shared" si="119"/>
        <v>42</v>
      </c>
      <c r="AM182" s="1">
        <f>VLOOKUP(X182,[23]ölçme_sistemleri!I:N,6,FALSE)</f>
        <v>3</v>
      </c>
      <c r="AN182" s="1">
        <v>2</v>
      </c>
      <c r="AO182" s="1">
        <f t="shared" si="88"/>
        <v>6</v>
      </c>
      <c r="AP182" s="1">
        <v>14</v>
      </c>
      <c r="AQ182" s="1">
        <f t="shared" si="105"/>
        <v>42</v>
      </c>
      <c r="AR182" s="1">
        <f t="shared" si="89"/>
        <v>111</v>
      </c>
      <c r="AS182" s="1">
        <f t="shared" si="121"/>
        <v>25</v>
      </c>
      <c r="AT182" s="1">
        <f t="shared" si="90"/>
        <v>4</v>
      </c>
      <c r="AU182" s="1">
        <f t="shared" si="106"/>
        <v>0</v>
      </c>
      <c r="AV182" s="1">
        <f t="shared" si="111"/>
        <v>0</v>
      </c>
      <c r="AW182" s="1">
        <f t="shared" si="112"/>
        <v>0</v>
      </c>
      <c r="AX182" s="1">
        <f t="shared" si="113"/>
        <v>0</v>
      </c>
      <c r="AY182" s="1">
        <f t="shared" si="91"/>
        <v>-21</v>
      </c>
      <c r="AZ182" s="1">
        <f t="shared" si="114"/>
        <v>0</v>
      </c>
      <c r="BA182" s="1">
        <f t="shared" si="92"/>
        <v>-42</v>
      </c>
      <c r="BB182" s="1">
        <f t="shared" si="115"/>
        <v>0</v>
      </c>
      <c r="BC182" s="1">
        <f t="shared" si="93"/>
        <v>-6</v>
      </c>
      <c r="BD182" s="1">
        <f t="shared" si="94"/>
        <v>0</v>
      </c>
      <c r="BE182" s="1" t="s">
        <v>65</v>
      </c>
      <c r="BF182" s="1">
        <f t="shared" si="116"/>
        <v>42</v>
      </c>
      <c r="BG182" s="1">
        <f t="shared" si="117"/>
        <v>42</v>
      </c>
      <c r="BH182" s="1">
        <f t="shared" si="95"/>
        <v>1</v>
      </c>
      <c r="BI182" s="1" t="e">
        <f>IF(BH182-#REF!=0,"DOĞRU","YANLIŞ")</f>
        <v>#REF!</v>
      </c>
      <c r="BJ182" s="1" t="e">
        <f>#REF!-BH182</f>
        <v>#REF!</v>
      </c>
      <c r="BK182" s="1">
        <v>1</v>
      </c>
      <c r="BM182" s="1">
        <v>1</v>
      </c>
      <c r="BO182" s="1">
        <v>2</v>
      </c>
      <c r="BT182" s="8">
        <f t="shared" si="118"/>
        <v>0</v>
      </c>
      <c r="BU182" s="9"/>
      <c r="BV182" s="10"/>
      <c r="BW182" s="11"/>
      <c r="BX182" s="11"/>
      <c r="BY182" s="11"/>
      <c r="BZ182" s="11"/>
      <c r="CA182" s="11"/>
      <c r="CB182" s="12"/>
      <c r="CC182" s="13"/>
      <c r="CD182" s="14"/>
      <c r="CL182" s="11"/>
      <c r="CM182" s="11"/>
      <c r="CN182" s="11"/>
      <c r="CO182" s="11"/>
      <c r="CP182" s="11"/>
      <c r="CQ182" s="49"/>
      <c r="CR182" s="46"/>
      <c r="CS182" s="48"/>
      <c r="CT182" s="48"/>
      <c r="CU182" s="48"/>
      <c r="CV182" s="48"/>
      <c r="CW182" s="49"/>
      <c r="CX182" s="49"/>
    </row>
    <row r="183" spans="1:103" hidden="1" x14ac:dyDescent="0.25">
      <c r="A183" s="41" t="s">
        <v>146</v>
      </c>
      <c r="B183" s="1" t="s">
        <v>147</v>
      </c>
      <c r="C183" s="1" t="s">
        <v>147</v>
      </c>
      <c r="D183" s="2" t="s">
        <v>63</v>
      </c>
      <c r="E183" s="2" t="s">
        <v>63</v>
      </c>
      <c r="F183" s="3" t="e">
        <f>IF(BE183="S",
IF(#REF!+BM183=2018,
IF(#REF!=1,"18-19/1",
IF(#REF!=2,"18-19/2",
IF(#REF!=3,"19-20/1",
IF(#REF!=4,"19-20/2",
IF(#REF!=5,"20-21/1",
IF(#REF!=6,"20-21/2",
IF(#REF!=7,"21-22/1",
IF(#REF!=8,"21-22/2","Hata1")))))))),
IF(#REF!+BM183=2019,
IF(#REF!=1,"19-20/1",
IF(#REF!=2,"19-20/2",
IF(#REF!=3,"20-21/1",
IF(#REF!=4,"20-21/2",
IF(#REF!=5,"21-22/1",
IF(#REF!=6,"21-22/2",
IF(#REF!=7,"22-23/1",
IF(#REF!=8,"22-23/2","Hata2")))))))),
IF(#REF!+BM183=2020,
IF(#REF!=1,"20-21/1",
IF(#REF!=2,"20-21/2",
IF(#REF!=3,"21-22/1",
IF(#REF!=4,"21-22/2",
IF(#REF!=5,"22-23/1",
IF(#REF!=6,"22-23/2",
IF(#REF!=7,"23-24/1",
IF(#REF!=8,"23-24/2","Hata3")))))))),
IF(#REF!+BM183=2021,
IF(#REF!=1,"21-22/1",
IF(#REF!=2,"21-22/2",
IF(#REF!=3,"22-23/1",
IF(#REF!=4,"22-23/2",
IF(#REF!=5,"23-24/1",
IF(#REF!=6,"23-24/2",
IF(#REF!=7,"24-25/1",
IF(#REF!=8,"24-25/2","Hata4")))))))),
IF(#REF!+BM183=2022,
IF(#REF!=1,"22-23/1",
IF(#REF!=2,"22-23/2",
IF(#REF!=3,"23-24/1",
IF(#REF!=4,"23-24/2",
IF(#REF!=5,"24-25/1",
IF(#REF!=6,"24-25/2",
IF(#REF!=7,"25-26/1",
IF(#REF!=8,"25-26/2","Hata5")))))))),
IF(#REF!+BM183=2023,
IF(#REF!=1,"23-24/1",
IF(#REF!=2,"23-24/2",
IF(#REF!=3,"24-25/1",
IF(#REF!=4,"24-25/2",
IF(#REF!=5,"25-26/1",
IF(#REF!=6,"25-26/2",
IF(#REF!=7,"26-27/1",
IF(#REF!=8,"26-27/2","Hata6")))))))),
)))))),
IF(BE183="T",
IF(#REF!+BM183=2018,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3" s="7" t="s">
        <v>216</v>
      </c>
      <c r="L183" s="31">
        <v>3427</v>
      </c>
      <c r="N183" s="2">
        <v>4</v>
      </c>
      <c r="O183" s="6">
        <f t="shared" si="81"/>
        <v>3</v>
      </c>
      <c r="P183" s="2">
        <f t="shared" si="82"/>
        <v>3</v>
      </c>
      <c r="Q183" s="31">
        <v>0</v>
      </c>
      <c r="R183" s="2">
        <v>0</v>
      </c>
      <c r="S183" s="31">
        <v>3</v>
      </c>
      <c r="X183" s="3">
        <v>2</v>
      </c>
      <c r="Y183" s="1">
        <f>VLOOKUP(X183,[23]ölçme_sistemleri!I:L,2,FALSE)</f>
        <v>0</v>
      </c>
      <c r="Z183" s="1">
        <f>VLOOKUP(X183,[23]ölçme_sistemleri!I:L,3,FALSE)</f>
        <v>2</v>
      </c>
      <c r="AA183" s="1">
        <f>VLOOKUP(X183,[23]ölçme_sistemleri!I:L,4,FALSE)</f>
        <v>1</v>
      </c>
      <c r="AB183" s="1">
        <f>$O183*[23]ölçme_sistemleri!J$13</f>
        <v>3</v>
      </c>
      <c r="AC183" s="1">
        <f>$O183*[23]ölçme_sistemleri!K$13</f>
        <v>6</v>
      </c>
      <c r="AD183" s="1">
        <f>$O183*[23]ölçme_sistemleri!L$13</f>
        <v>9</v>
      </c>
      <c r="AE183" s="1">
        <f t="shared" si="83"/>
        <v>0</v>
      </c>
      <c r="AF183" s="1">
        <f t="shared" si="84"/>
        <v>12</v>
      </c>
      <c r="AG183" s="1">
        <f t="shared" si="85"/>
        <v>9</v>
      </c>
      <c r="AH183" s="1">
        <f t="shared" si="86"/>
        <v>21</v>
      </c>
      <c r="AI183" s="1">
        <v>14</v>
      </c>
      <c r="AJ183" s="1">
        <f>VLOOKUP(X183,[23]ölçme_sistemleri!I:M,5,FALSE)</f>
        <v>2</v>
      </c>
      <c r="AK183" s="1">
        <f t="shared" si="87"/>
        <v>294</v>
      </c>
      <c r="AL183" s="1">
        <f t="shared" si="119"/>
        <v>42</v>
      </c>
      <c r="AM183" s="1">
        <f>VLOOKUP(X183,[23]ölçme_sistemleri!I:N,6,FALSE)</f>
        <v>3</v>
      </c>
      <c r="AN183" s="1">
        <v>2</v>
      </c>
      <c r="AO183" s="1">
        <f t="shared" si="88"/>
        <v>6</v>
      </c>
      <c r="AP183" s="1">
        <v>14</v>
      </c>
      <c r="AQ183" s="1">
        <f t="shared" si="105"/>
        <v>42</v>
      </c>
      <c r="AR183" s="1">
        <f t="shared" si="89"/>
        <v>111</v>
      </c>
      <c r="AS183" s="1">
        <f t="shared" si="121"/>
        <v>25</v>
      </c>
      <c r="AT183" s="1">
        <f t="shared" si="90"/>
        <v>4</v>
      </c>
      <c r="AU183" s="1">
        <f t="shared" si="106"/>
        <v>0</v>
      </c>
      <c r="AV183" s="1">
        <f t="shared" si="111"/>
        <v>0</v>
      </c>
      <c r="AW183" s="1">
        <f t="shared" si="112"/>
        <v>0</v>
      </c>
      <c r="AX183" s="1">
        <f t="shared" si="113"/>
        <v>0</v>
      </c>
      <c r="AY183" s="1">
        <f t="shared" si="91"/>
        <v>-21</v>
      </c>
      <c r="AZ183" s="1">
        <f t="shared" si="114"/>
        <v>0</v>
      </c>
      <c r="BA183" s="1">
        <f t="shared" si="92"/>
        <v>-42</v>
      </c>
      <c r="BB183" s="1">
        <f t="shared" si="115"/>
        <v>0</v>
      </c>
      <c r="BC183" s="1">
        <f t="shared" si="93"/>
        <v>-6</v>
      </c>
      <c r="BD183" s="1">
        <f t="shared" si="94"/>
        <v>0</v>
      </c>
      <c r="BE183" s="1" t="s">
        <v>65</v>
      </c>
      <c r="BF183" s="1">
        <f t="shared" si="116"/>
        <v>42</v>
      </c>
      <c r="BG183" s="1">
        <f t="shared" si="117"/>
        <v>42</v>
      </c>
      <c r="BH183" s="1">
        <f t="shared" si="95"/>
        <v>1</v>
      </c>
      <c r="BI183" s="1" t="e">
        <f>IF(BH183-#REF!=0,"DOĞRU","YANLIŞ")</f>
        <v>#REF!</v>
      </c>
      <c r="BJ183" s="1" t="e">
        <f>#REF!-BH183</f>
        <v>#REF!</v>
      </c>
      <c r="BK183" s="1">
        <v>0</v>
      </c>
      <c r="BM183" s="1">
        <v>1</v>
      </c>
      <c r="BO183" s="1">
        <v>2</v>
      </c>
      <c r="BT183" s="8">
        <f t="shared" si="118"/>
        <v>0</v>
      </c>
      <c r="BU183" s="9"/>
      <c r="BV183" s="10"/>
      <c r="BW183" s="11"/>
      <c r="BX183" s="11"/>
      <c r="BY183" s="11"/>
      <c r="BZ183" s="11"/>
      <c r="CA183" s="11"/>
      <c r="CB183" s="12"/>
      <c r="CC183" s="13"/>
      <c r="CD183" s="14"/>
      <c r="CL183" s="11"/>
      <c r="CM183" s="11"/>
      <c r="CN183" s="11"/>
      <c r="CO183" s="11"/>
      <c r="CP183" s="11"/>
      <c r="CQ183" s="49"/>
      <c r="CR183" s="46"/>
      <c r="CS183" s="49"/>
      <c r="CT183" s="48"/>
      <c r="CU183" s="48"/>
      <c r="CV183" s="48"/>
      <c r="CW183" s="49"/>
      <c r="CX183" s="49"/>
    </row>
    <row r="184" spans="1:103" hidden="1" x14ac:dyDescent="0.25">
      <c r="A184" s="7" t="s">
        <v>97</v>
      </c>
      <c r="B184" s="7" t="s">
        <v>98</v>
      </c>
      <c r="C184" s="1" t="s">
        <v>98</v>
      </c>
      <c r="D184" s="2" t="s">
        <v>63</v>
      </c>
      <c r="E184" s="2" t="s">
        <v>63</v>
      </c>
      <c r="F184" s="3" t="e">
        <f>IF(BE184="S",
IF(#REF!+BM184=2018,
IF(#REF!=1,"18-19/1",
IF(#REF!=2,"18-19/2",
IF(#REF!=3,"19-20/1",
IF(#REF!=4,"19-20/2",
IF(#REF!=5,"20-21/1",
IF(#REF!=6,"20-21/2",
IF(#REF!=7,"21-22/1",
IF(#REF!=8,"21-22/2","Hata1")))))))),
IF(#REF!+BM184=2019,
IF(#REF!=1,"19-20/1",
IF(#REF!=2,"19-20/2",
IF(#REF!=3,"20-21/1",
IF(#REF!=4,"20-21/2",
IF(#REF!=5,"21-22/1",
IF(#REF!=6,"21-22/2",
IF(#REF!=7,"22-23/1",
IF(#REF!=8,"22-23/2","Hata2")))))))),
IF(#REF!+BM184=2020,
IF(#REF!=1,"20-21/1",
IF(#REF!=2,"20-21/2",
IF(#REF!=3,"21-22/1",
IF(#REF!=4,"21-22/2",
IF(#REF!=5,"22-23/1",
IF(#REF!=6,"22-23/2",
IF(#REF!=7,"23-24/1",
IF(#REF!=8,"23-24/2","Hata3")))))))),
IF(#REF!+BM184=2021,
IF(#REF!=1,"21-22/1",
IF(#REF!=2,"21-22/2",
IF(#REF!=3,"22-23/1",
IF(#REF!=4,"22-23/2",
IF(#REF!=5,"23-24/1",
IF(#REF!=6,"23-24/2",
IF(#REF!=7,"24-25/1",
IF(#REF!=8,"24-25/2","Hata4")))))))),
IF(#REF!+BM184=2022,
IF(#REF!=1,"22-23/1",
IF(#REF!=2,"22-23/2",
IF(#REF!=3,"23-24/1",
IF(#REF!=4,"23-24/2",
IF(#REF!=5,"24-25/1",
IF(#REF!=6,"24-25/2",
IF(#REF!=7,"25-26/1",
IF(#REF!=8,"25-26/2","Hata5")))))))),
IF(#REF!+BM184=2023,
IF(#REF!=1,"23-24/1",
IF(#REF!=2,"23-24/2",
IF(#REF!=3,"24-25/1",
IF(#REF!=4,"24-25/2",
IF(#REF!=5,"25-26/1",
IF(#REF!=6,"25-26/2",
IF(#REF!=7,"26-27/1",
IF(#REF!=8,"26-27/2","Hata6")))))))),
)))))),
IF(BE184="T",
IF(#REF!+BM184=2018,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4" s="1" t="s">
        <v>141</v>
      </c>
      <c r="J184" s="1">
        <v>4234771</v>
      </c>
      <c r="L184" s="2">
        <v>196</v>
      </c>
      <c r="N184" s="2">
        <v>4</v>
      </c>
      <c r="O184" s="6">
        <f t="shared" si="81"/>
        <v>3</v>
      </c>
      <c r="P184" s="2">
        <f t="shared" si="82"/>
        <v>3</v>
      </c>
      <c r="Q184" s="2">
        <v>3</v>
      </c>
      <c r="R184" s="2">
        <v>0</v>
      </c>
      <c r="S184" s="2">
        <v>0</v>
      </c>
      <c r="X184" s="3">
        <v>2</v>
      </c>
      <c r="Y184" s="1">
        <f>VLOOKUP($X184,[24]ölçme_sistemleri!I$1:L$65536,2,FALSE)</f>
        <v>0</v>
      </c>
      <c r="Z184" s="1">
        <f>VLOOKUP($X184,[24]ölçme_sistemleri!I$1:L$65536,3,FALSE)</f>
        <v>2</v>
      </c>
      <c r="AA184" s="1">
        <f>VLOOKUP($X184,[24]ölçme_sistemleri!I$1:L$65536,4,FALSE)</f>
        <v>1</v>
      </c>
      <c r="AB184" s="1">
        <f>$O184*[24]ölçme_sistemleri!J$13</f>
        <v>3</v>
      </c>
      <c r="AC184" s="1">
        <f>$O184*[24]ölçme_sistemleri!K$13</f>
        <v>6</v>
      </c>
      <c r="AD184" s="1">
        <f>$O184*[24]ölçme_sistemleri!L$13</f>
        <v>9</v>
      </c>
      <c r="AE184" s="1">
        <f t="shared" si="83"/>
        <v>0</v>
      </c>
      <c r="AF184" s="1">
        <f t="shared" si="84"/>
        <v>12</v>
      </c>
      <c r="AG184" s="1">
        <f t="shared" si="85"/>
        <v>9</v>
      </c>
      <c r="AH184" s="1">
        <f t="shared" si="86"/>
        <v>21</v>
      </c>
      <c r="AI184" s="1">
        <v>14</v>
      </c>
      <c r="AJ184" s="1">
        <f>VLOOKUP(X184,[24]ölçme_sistemleri!I$1:M$65536,5,FALSE)</f>
        <v>2</v>
      </c>
      <c r="AK184" s="1">
        <f t="shared" si="87"/>
        <v>294</v>
      </c>
      <c r="AL184" s="1">
        <f t="shared" si="119"/>
        <v>42</v>
      </c>
      <c r="AM184" s="1">
        <f>VLOOKUP(X184,[24]ölçme_sistemleri!I$1:N$65536,6,FALSE)</f>
        <v>3</v>
      </c>
      <c r="AN184" s="1">
        <v>2</v>
      </c>
      <c r="AO184" s="1">
        <f t="shared" si="88"/>
        <v>6</v>
      </c>
      <c r="AP184" s="1">
        <v>14</v>
      </c>
      <c r="AQ184" s="1">
        <f t="shared" si="105"/>
        <v>42</v>
      </c>
      <c r="AR184" s="1">
        <f t="shared" si="89"/>
        <v>111</v>
      </c>
      <c r="AS184" s="1">
        <f t="shared" si="121"/>
        <v>25</v>
      </c>
      <c r="AT184" s="1">
        <f t="shared" si="90"/>
        <v>4</v>
      </c>
      <c r="AU184" s="1">
        <f t="shared" si="106"/>
        <v>0</v>
      </c>
      <c r="AV184" s="1">
        <f t="shared" si="111"/>
        <v>0</v>
      </c>
      <c r="AW184" s="1">
        <f t="shared" si="112"/>
        <v>0</v>
      </c>
      <c r="AX184" s="1">
        <f t="shared" si="113"/>
        <v>0</v>
      </c>
      <c r="AY184" s="1">
        <f t="shared" si="91"/>
        <v>-21</v>
      </c>
      <c r="AZ184" s="1">
        <f t="shared" si="114"/>
        <v>0</v>
      </c>
      <c r="BA184" s="1">
        <f t="shared" si="92"/>
        <v>-42</v>
      </c>
      <c r="BB184" s="1">
        <f t="shared" si="115"/>
        <v>0</v>
      </c>
      <c r="BC184" s="1">
        <f t="shared" si="93"/>
        <v>-6</v>
      </c>
      <c r="BD184" s="1">
        <f t="shared" si="94"/>
        <v>0</v>
      </c>
      <c r="BE184" s="1" t="s">
        <v>65</v>
      </c>
      <c r="BF184" s="1">
        <f t="shared" si="116"/>
        <v>42</v>
      </c>
      <c r="BG184" s="1">
        <f t="shared" si="117"/>
        <v>42</v>
      </c>
      <c r="BH184" s="1">
        <f t="shared" si="95"/>
        <v>1</v>
      </c>
      <c r="BI184" s="1" t="e">
        <f>IF(BH184-#REF!=0,"DOĞRU","YANLIŞ")</f>
        <v>#REF!</v>
      </c>
      <c r="BJ184" s="1" t="e">
        <f>#REF!-BH184</f>
        <v>#REF!</v>
      </c>
      <c r="BK184" s="1">
        <v>0</v>
      </c>
      <c r="BM184" s="1">
        <v>0</v>
      </c>
      <c r="BO184" s="1">
        <v>3</v>
      </c>
      <c r="BT184" s="8">
        <f t="shared" si="118"/>
        <v>0</v>
      </c>
      <c r="BU184" s="9"/>
      <c r="BV184" s="10"/>
      <c r="BW184" s="11"/>
      <c r="BX184" s="11"/>
      <c r="BY184" s="11"/>
      <c r="BZ184" s="11"/>
      <c r="CA184" s="11"/>
      <c r="CB184" s="12"/>
      <c r="CC184" s="13"/>
      <c r="CD184" s="14"/>
      <c r="CL184" s="11"/>
      <c r="CM184" s="11"/>
      <c r="CN184" s="11"/>
      <c r="CO184" s="11"/>
      <c r="CP184" s="11"/>
      <c r="CQ184" s="54"/>
      <c r="CR184" s="55"/>
      <c r="CS184" s="54"/>
      <c r="CT184" s="46"/>
      <c r="CU184" s="48"/>
      <c r="CV184" s="48"/>
      <c r="CW184" s="49"/>
      <c r="CX184" s="49"/>
    </row>
    <row r="185" spans="1:103" hidden="1" x14ac:dyDescent="0.25">
      <c r="A185" s="7" t="s">
        <v>244</v>
      </c>
      <c r="B185" s="7" t="s">
        <v>221</v>
      </c>
      <c r="C185" s="1" t="s">
        <v>221</v>
      </c>
      <c r="D185" s="2" t="s">
        <v>63</v>
      </c>
      <c r="E185" s="2" t="s">
        <v>63</v>
      </c>
      <c r="F185" s="3" t="e">
        <f>IF(BE185="S",
IF(#REF!+BM185=2018,
IF(#REF!=1,"18-19/1",
IF(#REF!=2,"18-19/2",
IF(#REF!=3,"19-20/1",
IF(#REF!=4,"19-20/2",
IF(#REF!=5,"20-21/1",
IF(#REF!=6,"20-21/2",
IF(#REF!=7,"21-22/1",
IF(#REF!=8,"21-22/2","Hata1")))))))),
IF(#REF!+BM185=2019,
IF(#REF!=1,"19-20/1",
IF(#REF!=2,"19-20/2",
IF(#REF!=3,"20-21/1",
IF(#REF!=4,"20-21/2",
IF(#REF!=5,"21-22/1",
IF(#REF!=6,"21-22/2",
IF(#REF!=7,"22-23/1",
IF(#REF!=8,"22-23/2","Hata2")))))))),
IF(#REF!+BM185=2020,
IF(#REF!=1,"20-21/1",
IF(#REF!=2,"20-21/2",
IF(#REF!=3,"21-22/1",
IF(#REF!=4,"21-22/2",
IF(#REF!=5,"22-23/1",
IF(#REF!=6,"22-23/2",
IF(#REF!=7,"23-24/1",
IF(#REF!=8,"23-24/2","Hata3")))))))),
IF(#REF!+BM185=2021,
IF(#REF!=1,"21-22/1",
IF(#REF!=2,"21-22/2",
IF(#REF!=3,"22-23/1",
IF(#REF!=4,"22-23/2",
IF(#REF!=5,"23-24/1",
IF(#REF!=6,"23-24/2",
IF(#REF!=7,"24-25/1",
IF(#REF!=8,"24-25/2","Hata4")))))))),
IF(#REF!+BM185=2022,
IF(#REF!=1,"22-23/1",
IF(#REF!=2,"22-23/2",
IF(#REF!=3,"23-24/1",
IF(#REF!=4,"23-24/2",
IF(#REF!=5,"24-25/1",
IF(#REF!=6,"24-25/2",
IF(#REF!=7,"25-26/1",
IF(#REF!=8,"25-26/2","Hata5")))))))),
IF(#REF!+BM185=2023,
IF(#REF!=1,"23-24/1",
IF(#REF!=2,"23-24/2",
IF(#REF!=3,"24-25/1",
IF(#REF!=4,"24-25/2",
IF(#REF!=5,"25-26/1",
IF(#REF!=6,"25-26/2",
IF(#REF!=7,"26-27/1",
IF(#REF!=8,"26-27/2","Hata6")))))))),
)))))),
IF(BE185="T",
IF(#REF!+BM185=2018,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H185" s="3">
        <v>80</v>
      </c>
      <c r="I185" s="1" t="s">
        <v>141</v>
      </c>
      <c r="J185" s="1">
        <v>4234771</v>
      </c>
      <c r="L185" s="2">
        <v>3494</v>
      </c>
      <c r="N185" s="2">
        <v>3</v>
      </c>
      <c r="O185" s="6">
        <f t="shared" si="81"/>
        <v>3</v>
      </c>
      <c r="P185" s="2">
        <f t="shared" si="82"/>
        <v>3</v>
      </c>
      <c r="Q185" s="2">
        <v>0</v>
      </c>
      <c r="R185" s="2">
        <v>0</v>
      </c>
      <c r="S185" s="2">
        <v>3</v>
      </c>
      <c r="X185" s="3">
        <v>4</v>
      </c>
      <c r="Y185" s="1">
        <f>VLOOKUP($X185,[24]ölçme_sistemleri!I$1:L$65536,2,FALSE)</f>
        <v>0</v>
      </c>
      <c r="Z185" s="1">
        <f>VLOOKUP($X185,[24]ölçme_sistemleri!I$1:L$65536,3,FALSE)</f>
        <v>1</v>
      </c>
      <c r="AA185" s="1">
        <f>VLOOKUP($X185,[24]ölçme_sistemleri!I$1:L$65536,4,FALSE)</f>
        <v>1</v>
      </c>
      <c r="AB185" s="1">
        <f>$O185*[24]ölçme_sistemleri!J$13</f>
        <v>3</v>
      </c>
      <c r="AC185" s="1">
        <f>$O185*[24]ölçme_sistemleri!K$13</f>
        <v>6</v>
      </c>
      <c r="AD185" s="1">
        <f>$O185*[24]ölçme_sistemleri!L$13</f>
        <v>9</v>
      </c>
      <c r="AE185" s="1">
        <f t="shared" si="83"/>
        <v>0</v>
      </c>
      <c r="AF185" s="1">
        <f t="shared" si="84"/>
        <v>6</v>
      </c>
      <c r="AG185" s="1">
        <f t="shared" si="85"/>
        <v>9</v>
      </c>
      <c r="AH185" s="1">
        <f t="shared" si="86"/>
        <v>15</v>
      </c>
      <c r="AI185" s="1">
        <v>14</v>
      </c>
      <c r="AJ185" s="1">
        <f>VLOOKUP(X185,[24]ölçme_sistemleri!I$1:M$65536,5,FALSE)</f>
        <v>1</v>
      </c>
      <c r="AK185" s="1">
        <f t="shared" si="87"/>
        <v>210</v>
      </c>
      <c r="AL185" s="1">
        <f>AI185*1</f>
        <v>14</v>
      </c>
      <c r="AM185" s="1">
        <f>VLOOKUP(X185,[24]ölçme_sistemleri!I$1:N$65536,6,FALSE)</f>
        <v>2</v>
      </c>
      <c r="AN185" s="1">
        <v>2</v>
      </c>
      <c r="AO185" s="1">
        <f t="shared" si="88"/>
        <v>4</v>
      </c>
      <c r="AP185" s="1">
        <v>14</v>
      </c>
      <c r="AQ185" s="1">
        <f t="shared" si="105"/>
        <v>42</v>
      </c>
      <c r="AR185" s="1">
        <f t="shared" si="89"/>
        <v>75</v>
      </c>
      <c r="AS185" s="1">
        <f t="shared" si="121"/>
        <v>25</v>
      </c>
      <c r="AT185" s="1">
        <f t="shared" si="90"/>
        <v>3</v>
      </c>
      <c r="AU185" s="1">
        <f t="shared" si="106"/>
        <v>0</v>
      </c>
      <c r="AV185" s="1">
        <f t="shared" si="111"/>
        <v>0</v>
      </c>
      <c r="AW185" s="1">
        <f t="shared" si="112"/>
        <v>0</v>
      </c>
      <c r="AX185" s="1">
        <f t="shared" si="113"/>
        <v>0</v>
      </c>
      <c r="AY185" s="1">
        <f t="shared" si="91"/>
        <v>-15</v>
      </c>
      <c r="AZ185" s="1">
        <f t="shared" si="114"/>
        <v>0</v>
      </c>
      <c r="BA185" s="1">
        <f t="shared" si="92"/>
        <v>-14</v>
      </c>
      <c r="BB185" s="1">
        <f t="shared" si="115"/>
        <v>0</v>
      </c>
      <c r="BC185" s="1">
        <f t="shared" si="93"/>
        <v>-4</v>
      </c>
      <c r="BD185" s="1">
        <f t="shared" si="94"/>
        <v>0</v>
      </c>
      <c r="BE185" s="1" t="s">
        <v>65</v>
      </c>
      <c r="BF185" s="1">
        <f t="shared" si="116"/>
        <v>42</v>
      </c>
      <c r="BG185" s="1">
        <f t="shared" si="117"/>
        <v>42</v>
      </c>
      <c r="BH185" s="1">
        <f t="shared" si="95"/>
        <v>1</v>
      </c>
      <c r="BI185" s="1" t="e">
        <f>IF(BH185-#REF!=0,"DOĞRU","YANLIŞ")</f>
        <v>#REF!</v>
      </c>
      <c r="BJ185" s="1" t="e">
        <f>#REF!-BH185</f>
        <v>#REF!</v>
      </c>
      <c r="BK185" s="1">
        <v>0</v>
      </c>
      <c r="BM185" s="1">
        <v>0</v>
      </c>
      <c r="BT185" s="8">
        <f t="shared" si="118"/>
        <v>0</v>
      </c>
      <c r="BU185" s="9"/>
      <c r="BV185" s="10"/>
      <c r="BW185" s="11"/>
      <c r="BX185" s="11"/>
      <c r="BY185" s="11"/>
      <c r="BZ185" s="11"/>
      <c r="CA185" s="11"/>
      <c r="CB185" s="12"/>
      <c r="CC185" s="13"/>
      <c r="CD185" s="14"/>
      <c r="CL185" s="11"/>
      <c r="CM185" s="11"/>
      <c r="CN185" s="11"/>
      <c r="CO185" s="11"/>
      <c r="CP185" s="11"/>
      <c r="CQ185" s="49"/>
      <c r="CR185" s="46"/>
      <c r="CS185" s="48"/>
      <c r="CT185" s="48"/>
      <c r="CU185" s="48"/>
      <c r="CV185" s="48"/>
      <c r="CW185" s="49"/>
      <c r="CX185" s="49"/>
    </row>
    <row r="186" spans="1:103" hidden="1" x14ac:dyDescent="0.25">
      <c r="A186" s="7" t="s">
        <v>222</v>
      </c>
      <c r="B186" s="7" t="s">
        <v>223</v>
      </c>
      <c r="C186" s="1" t="s">
        <v>223</v>
      </c>
      <c r="D186" s="2" t="s">
        <v>63</v>
      </c>
      <c r="E186" s="2" t="s">
        <v>63</v>
      </c>
      <c r="F186" s="3" t="e">
        <f>IF(BE186="S",
IF(#REF!+BM186=2018,
IF(#REF!=1,"18-19/1",
IF(#REF!=2,"18-19/2",
IF(#REF!=3,"19-20/1",
IF(#REF!=4,"19-20/2",
IF(#REF!=5,"20-21/1",
IF(#REF!=6,"20-21/2",
IF(#REF!=7,"21-22/1",
IF(#REF!=8,"21-22/2","Hata1")))))))),
IF(#REF!+BM186=2019,
IF(#REF!=1,"19-20/1",
IF(#REF!=2,"19-20/2",
IF(#REF!=3,"20-21/1",
IF(#REF!=4,"20-21/2",
IF(#REF!=5,"21-22/1",
IF(#REF!=6,"21-22/2",
IF(#REF!=7,"22-23/1",
IF(#REF!=8,"22-23/2","Hata2")))))))),
IF(#REF!+BM186=2020,
IF(#REF!=1,"20-21/1",
IF(#REF!=2,"20-21/2",
IF(#REF!=3,"21-22/1",
IF(#REF!=4,"21-22/2",
IF(#REF!=5,"22-23/1",
IF(#REF!=6,"22-23/2",
IF(#REF!=7,"23-24/1",
IF(#REF!=8,"23-24/2","Hata3")))))))),
IF(#REF!+BM186=2021,
IF(#REF!=1,"21-22/1",
IF(#REF!=2,"21-22/2",
IF(#REF!=3,"22-23/1",
IF(#REF!=4,"22-23/2",
IF(#REF!=5,"23-24/1",
IF(#REF!=6,"23-24/2",
IF(#REF!=7,"24-25/1",
IF(#REF!=8,"24-25/2","Hata4")))))))),
IF(#REF!+BM186=2022,
IF(#REF!=1,"22-23/1",
IF(#REF!=2,"22-23/2",
IF(#REF!=3,"23-24/1",
IF(#REF!=4,"23-24/2",
IF(#REF!=5,"24-25/1",
IF(#REF!=6,"24-25/2",
IF(#REF!=7,"25-26/1",
IF(#REF!=8,"25-26/2","Hata5")))))))),
IF(#REF!+BM186=2023,
IF(#REF!=1,"23-24/1",
IF(#REF!=2,"23-24/2",
IF(#REF!=3,"24-25/1",
IF(#REF!=4,"24-25/2",
IF(#REF!=5,"25-26/1",
IF(#REF!=6,"25-26/2",
IF(#REF!=7,"26-27/1",
IF(#REF!=8,"26-27/2","Hata6")))))))),
)))))),
IF(BE186="T",
IF(#REF!+BM186=2018,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6" s="1" t="s">
        <v>141</v>
      </c>
      <c r="J186" s="1">
        <v>4234771</v>
      </c>
      <c r="L186" s="2">
        <v>3647</v>
      </c>
      <c r="N186" s="2">
        <v>5</v>
      </c>
      <c r="O186" s="6">
        <f t="shared" ref="O186:O210" si="122">(S186)+(R186/2)+(Q186)</f>
        <v>3</v>
      </c>
      <c r="P186" s="2">
        <f t="shared" ref="P186:P210" si="123">Q186+R186+S186</f>
        <v>3</v>
      </c>
      <c r="Q186" s="2">
        <v>3</v>
      </c>
      <c r="R186" s="2">
        <v>0</v>
      </c>
      <c r="S186" s="2">
        <v>0</v>
      </c>
      <c r="X186" s="3">
        <v>3</v>
      </c>
      <c r="Y186" s="1">
        <f>VLOOKUP($X186,[5]ölçme_sistemleri!I$1:L$65536,2,FALSE)</f>
        <v>2</v>
      </c>
      <c r="Z186" s="1">
        <f>VLOOKUP($X186,[5]ölçme_sistemleri!I$1:L$65536,3,FALSE)</f>
        <v>1</v>
      </c>
      <c r="AA186" s="1">
        <f>VLOOKUP($X186,[5]ölçme_sistemleri!I$1:L$65536,4,FALSE)</f>
        <v>1</v>
      </c>
      <c r="AB186" s="1">
        <f>$O186*[5]ölçme_sistemleri!J$13</f>
        <v>3</v>
      </c>
      <c r="AC186" s="1">
        <f>$O186*[5]ölçme_sistemleri!K$13</f>
        <v>6</v>
      </c>
      <c r="AD186" s="1">
        <f>$O186*[5]ölçme_sistemleri!L$13</f>
        <v>9</v>
      </c>
      <c r="AE186" s="1">
        <f t="shared" ref="AE186:AE210" si="124">Y186*AB186</f>
        <v>6</v>
      </c>
      <c r="AF186" s="1">
        <f t="shared" ref="AF186:AF210" si="125">Z186*AC186</f>
        <v>6</v>
      </c>
      <c r="AG186" s="1">
        <f t="shared" ref="AG186:AG210" si="126">AA186*AD186</f>
        <v>9</v>
      </c>
      <c r="AH186" s="1">
        <f t="shared" ref="AH186:AH210" si="127">SUM(AE186:AG186)</f>
        <v>21</v>
      </c>
      <c r="AI186" s="1">
        <v>14</v>
      </c>
      <c r="AJ186" s="1">
        <f>VLOOKUP(X186,[5]ölçme_sistemleri!I$1:M$65536,5,FALSE)</f>
        <v>3</v>
      </c>
      <c r="AK186" s="1">
        <f t="shared" ref="AK186:AK210" si="128">SUM(AE186,AF186,AG186)*AI186</f>
        <v>294</v>
      </c>
      <c r="AL186" s="1">
        <f>AI186*4</f>
        <v>56</v>
      </c>
      <c r="AM186" s="1">
        <f>VLOOKUP(X186,[5]ölçme_sistemleri!I$1:N$65536,6,FALSE)</f>
        <v>4</v>
      </c>
      <c r="AN186" s="1">
        <v>2</v>
      </c>
      <c r="AO186" s="1">
        <f t="shared" ref="AO186:AO210" si="129">AM186*AN186</f>
        <v>8</v>
      </c>
      <c r="AP186" s="1">
        <v>14</v>
      </c>
      <c r="AQ186" s="1">
        <f t="shared" si="105"/>
        <v>42</v>
      </c>
      <c r="AR186" s="1">
        <f t="shared" ref="AR186:AR210" si="130">AQ186+AO186+AL186+AE186+AF186+AG186</f>
        <v>127</v>
      </c>
      <c r="AS186" s="1">
        <f t="shared" si="121"/>
        <v>25</v>
      </c>
      <c r="AT186" s="1">
        <f t="shared" ref="AT186:AT210" si="131">ROUND(AR186/AS186,0)</f>
        <v>5</v>
      </c>
      <c r="AU186" s="1">
        <f t="shared" si="106"/>
        <v>0</v>
      </c>
      <c r="AV186" s="1">
        <f t="shared" si="111"/>
        <v>0</v>
      </c>
      <c r="AW186" s="1">
        <f t="shared" si="112"/>
        <v>0</v>
      </c>
      <c r="AX186" s="1">
        <f t="shared" si="113"/>
        <v>0</v>
      </c>
      <c r="AY186" s="1">
        <f t="shared" ref="AY186:AY210" si="132">SUM(AV186:AX186)-SUM(AD186:AF186)</f>
        <v>-21</v>
      </c>
      <c r="AZ186" s="1">
        <f t="shared" si="114"/>
        <v>0</v>
      </c>
      <c r="BA186" s="1">
        <f t="shared" ref="BA186:BA210" si="133">AZ186-AL186</f>
        <v>-56</v>
      </c>
      <c r="BB186" s="1">
        <f t="shared" si="115"/>
        <v>0</v>
      </c>
      <c r="BC186" s="1">
        <f t="shared" ref="BC186:BC210" si="134">BB186-AO186</f>
        <v>-8</v>
      </c>
      <c r="BD186" s="1">
        <f t="shared" ref="BD186:BD210" si="135">AV186+AW186+AX186+(IF(BK186=1,(AZ186)*2,AZ186))+BB186</f>
        <v>0</v>
      </c>
      <c r="BE186" s="1" t="s">
        <v>65</v>
      </c>
      <c r="BF186" s="1">
        <f t="shared" si="116"/>
        <v>42</v>
      </c>
      <c r="BG186" s="1">
        <f t="shared" si="117"/>
        <v>42</v>
      </c>
      <c r="BH186" s="1">
        <f t="shared" ref="BH186:BH210" si="136">IF(BE186="s",ROUND(BG186/30,0),IF(BE186="T",ROUND(BG186/25,0),"HATA"))</f>
        <v>1</v>
      </c>
      <c r="BI186" s="1" t="e">
        <f>IF(BH186-#REF!=0,"DOĞRU","YANLIŞ")</f>
        <v>#REF!</v>
      </c>
      <c r="BJ186" s="1" t="e">
        <f>#REF!-BH186</f>
        <v>#REF!</v>
      </c>
      <c r="BK186" s="1">
        <v>0</v>
      </c>
      <c r="BM186" s="1">
        <v>0</v>
      </c>
      <c r="BO186" s="1">
        <v>4</v>
      </c>
      <c r="BT186" s="8">
        <f t="shared" si="118"/>
        <v>0</v>
      </c>
      <c r="BU186" s="9"/>
      <c r="BV186" s="10"/>
      <c r="BW186" s="11"/>
      <c r="BX186" s="11"/>
      <c r="BY186" s="11"/>
      <c r="BZ186" s="11"/>
      <c r="CA186" s="11"/>
      <c r="CB186" s="12"/>
      <c r="CC186" s="13"/>
      <c r="CD186" s="14"/>
      <c r="CL186" s="11"/>
      <c r="CM186" s="11"/>
      <c r="CN186" s="11"/>
      <c r="CO186" s="11"/>
      <c r="CP186" s="11"/>
      <c r="CQ186" s="46"/>
      <c r="CR186" s="46"/>
      <c r="CS186" s="48"/>
      <c r="CT186" s="48"/>
      <c r="CU186" s="48"/>
      <c r="CV186" s="48"/>
      <c r="CW186" s="49"/>
      <c r="CX186" s="49"/>
    </row>
    <row r="187" spans="1:103" hidden="1" x14ac:dyDescent="0.25">
      <c r="A187" s="7" t="s">
        <v>357</v>
      </c>
      <c r="B187" s="7" t="s">
        <v>358</v>
      </c>
      <c r="C187" s="1" t="s">
        <v>358</v>
      </c>
      <c r="D187" s="2" t="s">
        <v>63</v>
      </c>
      <c r="E187" s="2" t="s">
        <v>63</v>
      </c>
      <c r="F187" s="3" t="e">
        <f>IF(BE187="S",
IF(#REF!+BM187=2018,
IF(#REF!=1,"18-19/1",
IF(#REF!=2,"18-19/2",
IF(#REF!=3,"19-20/1",
IF(#REF!=4,"19-20/2",
IF(#REF!=5,"20-21/1",
IF(#REF!=6,"20-21/2",
IF(#REF!=7,"21-22/1",
IF(#REF!=8,"21-22/2","Hata1")))))))),
IF(#REF!+BM187=2019,
IF(#REF!=1,"19-20/1",
IF(#REF!=2,"19-20/2",
IF(#REF!=3,"20-21/1",
IF(#REF!=4,"20-21/2",
IF(#REF!=5,"21-22/1",
IF(#REF!=6,"21-22/2",
IF(#REF!=7,"22-23/1",
IF(#REF!=8,"22-23/2","Hata2")))))))),
IF(#REF!+BM187=2020,
IF(#REF!=1,"20-21/1",
IF(#REF!=2,"20-21/2",
IF(#REF!=3,"21-22/1",
IF(#REF!=4,"21-22/2",
IF(#REF!=5,"22-23/1",
IF(#REF!=6,"22-23/2",
IF(#REF!=7,"23-24/1",
IF(#REF!=8,"23-24/2","Hata3")))))))),
IF(#REF!+BM187=2021,
IF(#REF!=1,"21-22/1",
IF(#REF!=2,"21-22/2",
IF(#REF!=3,"22-23/1",
IF(#REF!=4,"22-23/2",
IF(#REF!=5,"23-24/1",
IF(#REF!=6,"23-24/2",
IF(#REF!=7,"24-25/1",
IF(#REF!=8,"24-25/2","Hata4")))))))),
IF(#REF!+BM187=2022,
IF(#REF!=1,"22-23/1",
IF(#REF!=2,"22-23/2",
IF(#REF!=3,"23-24/1",
IF(#REF!=4,"23-24/2",
IF(#REF!=5,"24-25/1",
IF(#REF!=6,"24-25/2",
IF(#REF!=7,"25-26/1",
IF(#REF!=8,"25-26/2","Hata5")))))))),
IF(#REF!+BM187=2023,
IF(#REF!=1,"23-24/1",
IF(#REF!=2,"23-24/2",
IF(#REF!=3,"24-25/1",
IF(#REF!=4,"24-25/2",
IF(#REF!=5,"25-26/1",
IF(#REF!=6,"25-26/2",
IF(#REF!=7,"26-27/1",
IF(#REF!=8,"26-27/2","Hata6")))))))),
)))))),
IF(BE187="T",
IF(#REF!+BM187=2018,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7" s="1" t="s">
        <v>141</v>
      </c>
      <c r="J187" s="1">
        <v>4234771</v>
      </c>
      <c r="L187" s="2">
        <v>4366</v>
      </c>
      <c r="N187" s="2">
        <v>1</v>
      </c>
      <c r="O187" s="6">
        <f t="shared" si="122"/>
        <v>1</v>
      </c>
      <c r="P187" s="2">
        <f t="shared" si="123"/>
        <v>1</v>
      </c>
      <c r="Q187" s="2">
        <v>1</v>
      </c>
      <c r="R187" s="2">
        <v>0</v>
      </c>
      <c r="S187" s="2">
        <v>0</v>
      </c>
      <c r="X187" s="3">
        <v>0</v>
      </c>
      <c r="Y187" s="1">
        <f>VLOOKUP(X187,[4]ölçme_sistemleri!I:L,2,FALSE)</f>
        <v>0</v>
      </c>
      <c r="Z187" s="1">
        <f>VLOOKUP(X187,[4]ölçme_sistemleri!I:L,3,FALSE)</f>
        <v>0</v>
      </c>
      <c r="AA187" s="1">
        <f>VLOOKUP(X187,[4]ölçme_sistemleri!I:L,4,FALSE)</f>
        <v>0</v>
      </c>
      <c r="AB187" s="1">
        <f>$O187*[4]ölçme_sistemleri!J$13</f>
        <v>1</v>
      </c>
      <c r="AC187" s="1">
        <f>$O187*[4]ölçme_sistemleri!K$13</f>
        <v>2</v>
      </c>
      <c r="AD187" s="1">
        <f>$O187*[4]ölçme_sistemleri!L$13</f>
        <v>3</v>
      </c>
      <c r="AE187" s="1">
        <f t="shared" si="124"/>
        <v>0</v>
      </c>
      <c r="AF187" s="1">
        <f t="shared" si="125"/>
        <v>0</v>
      </c>
      <c r="AG187" s="1">
        <f t="shared" si="126"/>
        <v>0</v>
      </c>
      <c r="AH187" s="1">
        <f t="shared" si="127"/>
        <v>0</v>
      </c>
      <c r="AI187" s="1">
        <v>14</v>
      </c>
      <c r="AJ187" s="1">
        <f>VLOOKUP(X187,[4]ölçme_sistemleri!I:M,5,FALSE)</f>
        <v>0</v>
      </c>
      <c r="AK187" s="1">
        <f t="shared" si="128"/>
        <v>0</v>
      </c>
      <c r="AL187" s="1">
        <f>(Q187+S187)*AI187</f>
        <v>14</v>
      </c>
      <c r="AM187" s="1">
        <f>VLOOKUP(X187,[4]ölçme_sistemleri!I:N,6,FALSE)</f>
        <v>0</v>
      </c>
      <c r="AN187" s="1">
        <v>2</v>
      </c>
      <c r="AO187" s="1">
        <f t="shared" si="129"/>
        <v>0</v>
      </c>
      <c r="AP187" s="1">
        <v>14</v>
      </c>
      <c r="AQ187" s="1">
        <f t="shared" si="105"/>
        <v>14</v>
      </c>
      <c r="AR187" s="1">
        <f t="shared" si="130"/>
        <v>28</v>
      </c>
      <c r="AS187" s="1">
        <f>IF(BE187="s",25,25)</f>
        <v>25</v>
      </c>
      <c r="AT187" s="1">
        <f t="shared" si="131"/>
        <v>1</v>
      </c>
      <c r="AU187" s="1">
        <f t="shared" si="106"/>
        <v>0</v>
      </c>
      <c r="AV187" s="1">
        <f t="shared" si="111"/>
        <v>0</v>
      </c>
      <c r="AW187" s="1">
        <f t="shared" si="112"/>
        <v>0</v>
      </c>
      <c r="AX187" s="1">
        <f t="shared" si="113"/>
        <v>0</v>
      </c>
      <c r="AY187" s="1">
        <f t="shared" si="132"/>
        <v>-3</v>
      </c>
      <c r="AZ187" s="1">
        <f t="shared" si="114"/>
        <v>0</v>
      </c>
      <c r="BA187" s="1">
        <f t="shared" si="133"/>
        <v>-14</v>
      </c>
      <c r="BB187" s="1">
        <f t="shared" ref="BB187:BB210" si="137">IF(BE187="s",
IF(W187=0,0,
IF(W187=1,4*5,
IF(W187=2,4*3,
IF(W187=3,4*4,
IF(W187=4,4*2,
IF(W187=5,4,
IF(W187=6,4/2,
IF(W187=7,4*2,)))))))),
IF(BE187="t",
IF(W187=0,0,
IF(W187=1,4*5,
IF(W187=2,4*3,
IF(W187=3,4*4,
IF(W187=4,4*2,
IF(W187=5,4,
IF(W187=6,4/2,
IF(W187=7,4*2))))))))))</f>
        <v>0</v>
      </c>
      <c r="BC187" s="1">
        <f t="shared" si="134"/>
        <v>0</v>
      </c>
      <c r="BD187" s="1">
        <f t="shared" si="135"/>
        <v>0</v>
      </c>
      <c r="BE187" s="1" t="s">
        <v>65</v>
      </c>
      <c r="BF187" s="1">
        <f t="shared" si="116"/>
        <v>14</v>
      </c>
      <c r="BG187" s="1">
        <f t="shared" si="117"/>
        <v>14</v>
      </c>
      <c r="BH187" s="1">
        <f t="shared" si="136"/>
        <v>0</v>
      </c>
      <c r="BI187" s="1" t="e">
        <f>IF(BH187-#REF!=0,"DOĞRU","YANLIŞ")</f>
        <v>#REF!</v>
      </c>
      <c r="BJ187" s="1" t="e">
        <f>#REF!-BH187</f>
        <v>#REF!</v>
      </c>
      <c r="BK187" s="1">
        <v>0</v>
      </c>
      <c r="BM187" s="1">
        <v>0</v>
      </c>
      <c r="BO187" s="1">
        <v>0</v>
      </c>
      <c r="BT187" s="8">
        <f t="shared" si="118"/>
        <v>0</v>
      </c>
      <c r="BU187" s="9"/>
      <c r="BV187" s="10"/>
      <c r="BW187" s="11"/>
      <c r="BX187" s="11"/>
      <c r="BY187" s="11"/>
      <c r="BZ187" s="11"/>
      <c r="CA187" s="11"/>
      <c r="CB187" s="12"/>
      <c r="CC187" s="13"/>
      <c r="CD187" s="14"/>
      <c r="CL187" s="11"/>
      <c r="CM187" s="11"/>
      <c r="CN187" s="11"/>
      <c r="CO187" s="11"/>
      <c r="CP187" s="11"/>
      <c r="CQ187" s="54"/>
      <c r="CR187" s="46"/>
      <c r="CS187" s="48"/>
      <c r="CT187" s="48"/>
      <c r="CU187" s="48"/>
      <c r="CV187" s="48"/>
      <c r="CW187" s="49"/>
      <c r="CX187" s="49"/>
    </row>
    <row r="188" spans="1:103" hidden="1" x14ac:dyDescent="0.25">
      <c r="A188" s="7" t="s">
        <v>357</v>
      </c>
      <c r="B188" s="7" t="s">
        <v>358</v>
      </c>
      <c r="C188" s="1" t="s">
        <v>358</v>
      </c>
      <c r="D188" s="2" t="s">
        <v>63</v>
      </c>
      <c r="E188" s="2" t="s">
        <v>63</v>
      </c>
      <c r="F188" s="3" t="e">
        <f>IF(BE188="S",
IF(#REF!+BM188=2018,
IF(#REF!=1,"18-19/1",
IF(#REF!=2,"18-19/2",
IF(#REF!=3,"19-20/1",
IF(#REF!=4,"19-20/2",
IF(#REF!=5,"20-21/1",
IF(#REF!=6,"20-21/2",
IF(#REF!=7,"21-22/1",
IF(#REF!=8,"21-22/2","Hata1")))))))),
IF(#REF!+BM188=2019,
IF(#REF!=1,"19-20/1",
IF(#REF!=2,"19-20/2",
IF(#REF!=3,"20-21/1",
IF(#REF!=4,"20-21/2",
IF(#REF!=5,"21-22/1",
IF(#REF!=6,"21-22/2",
IF(#REF!=7,"22-23/1",
IF(#REF!=8,"22-23/2","Hata2")))))))),
IF(#REF!+BM188=2020,
IF(#REF!=1,"20-21/1",
IF(#REF!=2,"20-21/2",
IF(#REF!=3,"21-22/1",
IF(#REF!=4,"21-22/2",
IF(#REF!=5,"22-23/1",
IF(#REF!=6,"22-23/2",
IF(#REF!=7,"23-24/1",
IF(#REF!=8,"23-24/2","Hata3")))))))),
IF(#REF!+BM188=2021,
IF(#REF!=1,"21-22/1",
IF(#REF!=2,"21-22/2",
IF(#REF!=3,"22-23/1",
IF(#REF!=4,"22-23/2",
IF(#REF!=5,"23-24/1",
IF(#REF!=6,"23-24/2",
IF(#REF!=7,"24-25/1",
IF(#REF!=8,"24-25/2","Hata4")))))))),
IF(#REF!+BM188=2022,
IF(#REF!=1,"22-23/1",
IF(#REF!=2,"22-23/2",
IF(#REF!=3,"23-24/1",
IF(#REF!=4,"23-24/2",
IF(#REF!=5,"24-25/1",
IF(#REF!=6,"24-25/2",
IF(#REF!=7,"25-26/1",
IF(#REF!=8,"25-26/2","Hata5")))))))),
IF(#REF!+BM188=2023,
IF(#REF!=1,"23-24/1",
IF(#REF!=2,"23-24/2",
IF(#REF!=3,"24-25/1",
IF(#REF!=4,"24-25/2",
IF(#REF!=5,"25-26/1",
IF(#REF!=6,"25-26/2",
IF(#REF!=7,"26-27/1",
IF(#REF!=8,"26-27/2","Hata6")))))))),
)))))),
IF(BE188="T",
IF(#REF!+BM188=2018,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8" s="1" t="s">
        <v>141</v>
      </c>
      <c r="J188" s="1">
        <v>4234771</v>
      </c>
      <c r="L188" s="2">
        <v>4366</v>
      </c>
      <c r="N188" s="2">
        <v>1</v>
      </c>
      <c r="O188" s="6">
        <f t="shared" si="122"/>
        <v>1</v>
      </c>
      <c r="P188" s="2">
        <f t="shared" si="123"/>
        <v>1</v>
      </c>
      <c r="Q188" s="2">
        <v>1</v>
      </c>
      <c r="R188" s="2">
        <v>0</v>
      </c>
      <c r="S188" s="2">
        <v>0</v>
      </c>
      <c r="X188" s="3">
        <v>0</v>
      </c>
      <c r="Y188" s="1">
        <f>VLOOKUP(X188,[4]ölçme_sistemleri!I:L,2,FALSE)</f>
        <v>0</v>
      </c>
      <c r="Z188" s="1">
        <f>VLOOKUP(X188,[4]ölçme_sistemleri!I:L,3,FALSE)</f>
        <v>0</v>
      </c>
      <c r="AA188" s="1">
        <f>VLOOKUP(X188,[4]ölçme_sistemleri!I:L,4,FALSE)</f>
        <v>0</v>
      </c>
      <c r="AB188" s="1">
        <f>$O188*[4]ölçme_sistemleri!J$13</f>
        <v>1</v>
      </c>
      <c r="AC188" s="1">
        <f>$O188*[4]ölçme_sistemleri!K$13</f>
        <v>2</v>
      </c>
      <c r="AD188" s="1">
        <f>$O188*[4]ölçme_sistemleri!L$13</f>
        <v>3</v>
      </c>
      <c r="AE188" s="1">
        <f t="shared" si="124"/>
        <v>0</v>
      </c>
      <c r="AF188" s="1">
        <f t="shared" si="125"/>
        <v>0</v>
      </c>
      <c r="AG188" s="1">
        <f t="shared" si="126"/>
        <v>0</v>
      </c>
      <c r="AH188" s="1">
        <f t="shared" si="127"/>
        <v>0</v>
      </c>
      <c r="AI188" s="1">
        <v>14</v>
      </c>
      <c r="AJ188" s="1">
        <f>VLOOKUP(X188,[4]ölçme_sistemleri!I:M,5,FALSE)</f>
        <v>0</v>
      </c>
      <c r="AK188" s="1">
        <f t="shared" si="128"/>
        <v>0</v>
      </c>
      <c r="AL188" s="1">
        <f>(Q188+S188)*AI188</f>
        <v>14</v>
      </c>
      <c r="AM188" s="1">
        <f>VLOOKUP(X188,[4]ölçme_sistemleri!I:N,6,FALSE)</f>
        <v>0</v>
      </c>
      <c r="AN188" s="1">
        <v>2</v>
      </c>
      <c r="AO188" s="1">
        <f t="shared" si="129"/>
        <v>0</v>
      </c>
      <c r="AP188" s="1">
        <v>14</v>
      </c>
      <c r="AQ188" s="1">
        <f t="shared" si="105"/>
        <v>14</v>
      </c>
      <c r="AR188" s="1">
        <f t="shared" si="130"/>
        <v>28</v>
      </c>
      <c r="AS188" s="1">
        <f>IF(BE188="s",25,25)</f>
        <v>25</v>
      </c>
      <c r="AT188" s="1">
        <f t="shared" si="131"/>
        <v>1</v>
      </c>
      <c r="AU188" s="1">
        <f t="shared" si="106"/>
        <v>0</v>
      </c>
      <c r="AV188" s="1">
        <f t="shared" ref="AV188:AV210" si="138">IF(BE188="s",IF(W188=0,0,
IF(W188=1,N188*4*4,
IF(W188=2,0,
IF(W188=3,N188*4*2,
IF(W188=4,0,
IF(W188=5,0,
IF(W188=6,0,
IF(W188=7,0)))))))),
IF(BE188="t",
IF(W188=0,0,
IF(W188=1,N188*4*4*0.8,
IF(W188=2,0,
IF(W188=3,N188*4*2*0.8,
IF(W188=4,0,
IF(W188=5,0,
IF(W188=6,0,
IF(W188=7,0))))))))))</f>
        <v>0</v>
      </c>
      <c r="AW188" s="1">
        <f t="shared" ref="AW188:AW210" si="139">IF(BE188="s",
IF(W188=0,0,
IF(W188=1,0,
IF(W188=2,N188*4*2,
IF(W188=3,N188*4,
IF(W188=4,N188*4,
IF(W188=5,0,
IF(W188=6,0,
IF(W188=7,N188*4)))))))),
IF(BE188="t",
IF(W188=0,0,
IF(W188=1,0,
IF(W188=2,N188*4*2*0.8,
IF(W188=3,N188*4*0.8,
IF(W188=4,N188*4*0.8,
IF(W188=5,0,
IF(W188=6,0,
IF(W188=7,N188*4))))))))))</f>
        <v>0</v>
      </c>
      <c r="AX188" s="1">
        <f t="shared" ref="AX188:AX210" si="140">IF(BE188="s",
IF(W188=0,0,
IF(W188=1,N188*2,
IF(W188=2,N188*2,
IF(W188=3,N188*2,
IF(W188=4,N188*2,
IF(W188=5,N188*2,
IF(W188=6,N188*2,
IF(W188=7,N188*2)))))))),
IF(BE188="t",
IF(W188=0,O188*2*0.8,
IF(W188=1,N188*2*0.8,
IF(W188=2,N188*2*0.8,
IF(W188=3,N188*2*0.8,
IF(W188=4,N188*2*0.8,
IF(W188=5,N188*2*0.8,
IF(W188=6,N188*1*0.8,
IF(W188=7,N188*2))))))))))</f>
        <v>0</v>
      </c>
      <c r="AY188" s="1">
        <f t="shared" si="132"/>
        <v>-3</v>
      </c>
      <c r="AZ188" s="1">
        <f t="shared" ref="AZ188:AZ210" si="141">IF(BE188="s",
IF(W188=0,0,
IF(W188=1,(14-2)*(P188+R188)/4*4,
IF(W188=2,(14-2)*(P188+R188)/4*2,
IF(W188=3,(14-2)*(P188+R188)/4*3,
IF(W188=4,(14-2)*(P188+R188)/4,
IF(W188=5,(14-2)*N188/4,
IF(W188=6,0,
IF(W188=7,(14)*R188)))))))),
IF(BE188="t",
IF(W188=0,0,
IF(W188=1,(11-2)*(P188+R188)/4*4,
IF(W188=2,(11-2)*(P188+R188)/4*2,
IF(W188=3,(11-2)*(P188+R188)/4*3,
IF(W188=4,(11-2)*(P188+R188)/4,
IF(W188=5,(11-2)*N188/4,
IF(W188=6,0,
IF(W188=7,(11)*N188))))))))))</f>
        <v>0</v>
      </c>
      <c r="BA188" s="1">
        <f t="shared" si="133"/>
        <v>-14</v>
      </c>
      <c r="BB188" s="1">
        <f t="shared" si="137"/>
        <v>0</v>
      </c>
      <c r="BC188" s="1">
        <f t="shared" si="134"/>
        <v>0</v>
      </c>
      <c r="BD188" s="1">
        <f t="shared" si="135"/>
        <v>0</v>
      </c>
      <c r="BE188" s="1" t="s">
        <v>65</v>
      </c>
      <c r="BF188" s="1">
        <f t="shared" si="116"/>
        <v>14</v>
      </c>
      <c r="BG188" s="1">
        <f t="shared" si="117"/>
        <v>14</v>
      </c>
      <c r="BH188" s="1">
        <f t="shared" si="136"/>
        <v>0</v>
      </c>
      <c r="BI188" s="1" t="e">
        <f>IF(BH188-#REF!=0,"DOĞRU","YANLIŞ")</f>
        <v>#REF!</v>
      </c>
      <c r="BJ188" s="1" t="e">
        <f>#REF!-BH188</f>
        <v>#REF!</v>
      </c>
      <c r="BK188" s="1">
        <v>0</v>
      </c>
      <c r="BM188" s="1">
        <v>0</v>
      </c>
      <c r="BO188" s="1">
        <v>0</v>
      </c>
      <c r="BT188" s="8">
        <f t="shared" si="118"/>
        <v>0</v>
      </c>
      <c r="BU188" s="9"/>
      <c r="BV188" s="10"/>
      <c r="BW188" s="11"/>
      <c r="BX188" s="11"/>
      <c r="BY188" s="11"/>
      <c r="BZ188" s="11"/>
      <c r="CA188" s="11"/>
      <c r="CB188" s="12"/>
      <c r="CC188" s="13"/>
      <c r="CD188" s="14"/>
      <c r="CL188" s="11"/>
      <c r="CM188" s="11"/>
      <c r="CN188" s="11"/>
      <c r="CO188" s="11"/>
      <c r="CP188" s="11"/>
      <c r="CQ188" s="49"/>
      <c r="CR188" s="46"/>
      <c r="CS188" s="54"/>
      <c r="CT188" s="48"/>
      <c r="CU188" s="48"/>
      <c r="CV188" s="48"/>
      <c r="CW188" s="49"/>
      <c r="CX188" s="49"/>
    </row>
    <row r="189" spans="1:103" hidden="1" x14ac:dyDescent="0.25">
      <c r="A189" s="7" t="s">
        <v>357</v>
      </c>
      <c r="B189" s="7" t="s">
        <v>358</v>
      </c>
      <c r="C189" s="1" t="s">
        <v>358</v>
      </c>
      <c r="D189" s="2" t="s">
        <v>63</v>
      </c>
      <c r="E189" s="2" t="s">
        <v>63</v>
      </c>
      <c r="F189" s="3" t="e">
        <f>IF(BE189="S",
IF(#REF!+BM189=2018,
IF(#REF!=1,"18-19/1",
IF(#REF!=2,"18-19/2",
IF(#REF!=3,"19-20/1",
IF(#REF!=4,"19-20/2",
IF(#REF!=5,"20-21/1",
IF(#REF!=6,"20-21/2",
IF(#REF!=7,"21-22/1",
IF(#REF!=8,"21-22/2","Hata1")))))))),
IF(#REF!+BM189=2019,
IF(#REF!=1,"19-20/1",
IF(#REF!=2,"19-20/2",
IF(#REF!=3,"20-21/1",
IF(#REF!=4,"20-21/2",
IF(#REF!=5,"21-22/1",
IF(#REF!=6,"21-22/2",
IF(#REF!=7,"22-23/1",
IF(#REF!=8,"22-23/2","Hata2")))))))),
IF(#REF!+BM189=2020,
IF(#REF!=1,"20-21/1",
IF(#REF!=2,"20-21/2",
IF(#REF!=3,"21-22/1",
IF(#REF!=4,"21-22/2",
IF(#REF!=5,"22-23/1",
IF(#REF!=6,"22-23/2",
IF(#REF!=7,"23-24/1",
IF(#REF!=8,"23-24/2","Hata3")))))))),
IF(#REF!+BM189=2021,
IF(#REF!=1,"21-22/1",
IF(#REF!=2,"21-22/2",
IF(#REF!=3,"22-23/1",
IF(#REF!=4,"22-23/2",
IF(#REF!=5,"23-24/1",
IF(#REF!=6,"23-24/2",
IF(#REF!=7,"24-25/1",
IF(#REF!=8,"24-25/2","Hata4")))))))),
IF(#REF!+BM189=2022,
IF(#REF!=1,"22-23/1",
IF(#REF!=2,"22-23/2",
IF(#REF!=3,"23-24/1",
IF(#REF!=4,"23-24/2",
IF(#REF!=5,"24-25/1",
IF(#REF!=6,"24-25/2",
IF(#REF!=7,"25-26/1",
IF(#REF!=8,"25-26/2","Hata5")))))))),
IF(#REF!+BM189=2023,
IF(#REF!=1,"23-24/1",
IF(#REF!=2,"23-24/2",
IF(#REF!=3,"24-25/1",
IF(#REF!=4,"24-25/2",
IF(#REF!=5,"25-26/1",
IF(#REF!=6,"25-26/2",
IF(#REF!=7,"26-27/1",
IF(#REF!=8,"26-27/2","Hata6")))))))),
)))))),
IF(BE189="T",
IF(#REF!+BM189=2018,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IF(#REF!+BM189=2019,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IF(#REF!+BM189=2020,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IF(#REF!+BM189=2021,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IF(#REF!+BM189=2022,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IF(#REF!+BM189=2023,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89" s="1" t="s">
        <v>141</v>
      </c>
      <c r="J189" s="1">
        <v>4234771</v>
      </c>
      <c r="L189" s="2">
        <v>4366</v>
      </c>
      <c r="N189" s="2">
        <v>1</v>
      </c>
      <c r="O189" s="6">
        <f t="shared" si="122"/>
        <v>1</v>
      </c>
      <c r="P189" s="2">
        <f t="shared" si="123"/>
        <v>1</v>
      </c>
      <c r="Q189" s="2">
        <v>1</v>
      </c>
      <c r="R189" s="2">
        <v>0</v>
      </c>
      <c r="S189" s="2">
        <v>0</v>
      </c>
      <c r="X189" s="3">
        <v>0</v>
      </c>
      <c r="Y189" s="1">
        <f>VLOOKUP(X189,[4]ölçme_sistemleri!I:L,2,FALSE)</f>
        <v>0</v>
      </c>
      <c r="Z189" s="1">
        <f>VLOOKUP(X189,[4]ölçme_sistemleri!I:L,3,FALSE)</f>
        <v>0</v>
      </c>
      <c r="AA189" s="1">
        <f>VLOOKUP(X189,[4]ölçme_sistemleri!I:L,4,FALSE)</f>
        <v>0</v>
      </c>
      <c r="AB189" s="1">
        <f>$O189*[4]ölçme_sistemleri!J$13</f>
        <v>1</v>
      </c>
      <c r="AC189" s="1">
        <f>$O189*[4]ölçme_sistemleri!K$13</f>
        <v>2</v>
      </c>
      <c r="AD189" s="1">
        <f>$O189*[4]ölçme_sistemleri!L$13</f>
        <v>3</v>
      </c>
      <c r="AE189" s="1">
        <f t="shared" si="124"/>
        <v>0</v>
      </c>
      <c r="AF189" s="1">
        <f t="shared" si="125"/>
        <v>0</v>
      </c>
      <c r="AG189" s="1">
        <f t="shared" si="126"/>
        <v>0</v>
      </c>
      <c r="AH189" s="1">
        <f t="shared" si="127"/>
        <v>0</v>
      </c>
      <c r="AI189" s="1">
        <v>14</v>
      </c>
      <c r="AJ189" s="1">
        <f>VLOOKUP(X189,[4]ölçme_sistemleri!I:M,5,FALSE)</f>
        <v>0</v>
      </c>
      <c r="AK189" s="1">
        <f t="shared" si="128"/>
        <v>0</v>
      </c>
      <c r="AL189" s="1">
        <f>(Q189+S189)*AI189</f>
        <v>14</v>
      </c>
      <c r="AM189" s="1">
        <f>VLOOKUP(X189,[4]ölçme_sistemleri!I:N,6,FALSE)</f>
        <v>0</v>
      </c>
      <c r="AN189" s="1">
        <v>2</v>
      </c>
      <c r="AO189" s="1">
        <f t="shared" si="129"/>
        <v>0</v>
      </c>
      <c r="AP189" s="1">
        <v>14</v>
      </c>
      <c r="AQ189" s="1">
        <f t="shared" si="105"/>
        <v>14</v>
      </c>
      <c r="AR189" s="1">
        <f t="shared" si="130"/>
        <v>28</v>
      </c>
      <c r="AS189" s="1">
        <f>IF(BE189="s",25,25)</f>
        <v>25</v>
      </c>
      <c r="AT189" s="1">
        <f t="shared" si="131"/>
        <v>1</v>
      </c>
      <c r="AU189" s="1">
        <f t="shared" si="106"/>
        <v>0</v>
      </c>
      <c r="AV189" s="1">
        <f t="shared" si="138"/>
        <v>0</v>
      </c>
      <c r="AW189" s="1">
        <f t="shared" si="139"/>
        <v>0</v>
      </c>
      <c r="AX189" s="1">
        <f t="shared" si="140"/>
        <v>0</v>
      </c>
      <c r="AY189" s="1">
        <f t="shared" si="132"/>
        <v>-3</v>
      </c>
      <c r="AZ189" s="1">
        <f t="shared" si="141"/>
        <v>0</v>
      </c>
      <c r="BA189" s="1">
        <f t="shared" si="133"/>
        <v>-14</v>
      </c>
      <c r="BB189" s="1">
        <f t="shared" si="137"/>
        <v>0</v>
      </c>
      <c r="BC189" s="1">
        <f t="shared" si="134"/>
        <v>0</v>
      </c>
      <c r="BD189" s="1">
        <f t="shared" si="135"/>
        <v>0</v>
      </c>
      <c r="BE189" s="1" t="s">
        <v>65</v>
      </c>
      <c r="BF189" s="1">
        <f t="shared" si="116"/>
        <v>14</v>
      </c>
      <c r="BG189" s="1">
        <f t="shared" si="117"/>
        <v>14</v>
      </c>
      <c r="BH189" s="1">
        <f t="shared" si="136"/>
        <v>0</v>
      </c>
      <c r="BI189" s="1" t="e">
        <f>IF(BH189-#REF!=0,"DOĞRU","YANLIŞ")</f>
        <v>#REF!</v>
      </c>
      <c r="BJ189" s="1" t="e">
        <f>#REF!-BH189</f>
        <v>#REF!</v>
      </c>
      <c r="BK189" s="1">
        <v>0</v>
      </c>
      <c r="BM189" s="1">
        <v>0</v>
      </c>
      <c r="BO189" s="1">
        <v>0</v>
      </c>
      <c r="BT189" s="8">
        <f t="shared" si="118"/>
        <v>0</v>
      </c>
      <c r="BU189" s="9"/>
      <c r="BV189" s="10"/>
      <c r="BW189" s="11"/>
      <c r="BX189" s="11"/>
      <c r="BY189" s="11"/>
      <c r="BZ189" s="11"/>
      <c r="CA189" s="11"/>
      <c r="CB189" s="12"/>
      <c r="CC189" s="13"/>
      <c r="CD189" s="14"/>
      <c r="CL189" s="11"/>
      <c r="CM189" s="11"/>
      <c r="CN189" s="11"/>
      <c r="CO189" s="11"/>
      <c r="CP189" s="11"/>
      <c r="CQ189" s="49"/>
      <c r="CR189" s="46"/>
      <c r="CS189" s="48"/>
      <c r="CT189" s="48"/>
      <c r="CU189" s="48"/>
      <c r="CV189" s="48"/>
      <c r="CW189" s="49"/>
      <c r="CX189" s="49"/>
    </row>
    <row r="190" spans="1:103" hidden="1" x14ac:dyDescent="0.25">
      <c r="A190" s="7" t="s">
        <v>231</v>
      </c>
      <c r="B190" s="7" t="s">
        <v>232</v>
      </c>
      <c r="C190" s="1" t="s">
        <v>232</v>
      </c>
      <c r="D190" s="2" t="s">
        <v>63</v>
      </c>
      <c r="E190" s="2" t="s">
        <v>63</v>
      </c>
      <c r="F190" s="3" t="e">
        <f>IF(BE190="S",
IF(#REF!+BM190=2018,
IF(#REF!=1,"18-19/1",
IF(#REF!=2,"18-19/2",
IF(#REF!=3,"19-20/1",
IF(#REF!=4,"19-20/2",
IF(#REF!=5,"20-21/1",
IF(#REF!=6,"20-21/2",
IF(#REF!=7,"21-22/1",
IF(#REF!=8,"21-22/2","Hata1")))))))),
IF(#REF!+BM190=2019,
IF(#REF!=1,"19-20/1",
IF(#REF!=2,"19-20/2",
IF(#REF!=3,"20-21/1",
IF(#REF!=4,"20-21/2",
IF(#REF!=5,"21-22/1",
IF(#REF!=6,"21-22/2",
IF(#REF!=7,"22-23/1",
IF(#REF!=8,"22-23/2","Hata2")))))))),
IF(#REF!+BM190=2020,
IF(#REF!=1,"20-21/1",
IF(#REF!=2,"20-21/2",
IF(#REF!=3,"21-22/1",
IF(#REF!=4,"21-22/2",
IF(#REF!=5,"22-23/1",
IF(#REF!=6,"22-23/2",
IF(#REF!=7,"23-24/1",
IF(#REF!=8,"23-24/2","Hata3")))))))),
IF(#REF!+BM190=2021,
IF(#REF!=1,"21-22/1",
IF(#REF!=2,"21-22/2",
IF(#REF!=3,"22-23/1",
IF(#REF!=4,"22-23/2",
IF(#REF!=5,"23-24/1",
IF(#REF!=6,"23-24/2",
IF(#REF!=7,"24-25/1",
IF(#REF!=8,"24-25/2","Hata4")))))))),
IF(#REF!+BM190=2022,
IF(#REF!=1,"22-23/1",
IF(#REF!=2,"22-23/2",
IF(#REF!=3,"23-24/1",
IF(#REF!=4,"23-24/2",
IF(#REF!=5,"24-25/1",
IF(#REF!=6,"24-25/2",
IF(#REF!=7,"25-26/1",
IF(#REF!=8,"25-26/2","Hata5")))))))),
IF(#REF!+BM190=2023,
IF(#REF!=1,"23-24/1",
IF(#REF!=2,"23-24/2",
IF(#REF!=3,"24-25/1",
IF(#REF!=4,"24-25/2",
IF(#REF!=5,"25-26/1",
IF(#REF!=6,"25-26/2",
IF(#REF!=7,"26-27/1",
IF(#REF!=8,"26-27/2","Hata6")))))))),
)))))),
IF(BE190="T",
IF(#REF!+BM190=2018,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0" s="1" t="s">
        <v>141</v>
      </c>
      <c r="J190" s="1">
        <v>4234771</v>
      </c>
      <c r="L190" s="2">
        <v>3528</v>
      </c>
      <c r="N190" s="2">
        <v>7</v>
      </c>
      <c r="O190" s="6">
        <f t="shared" si="122"/>
        <v>4</v>
      </c>
      <c r="P190" s="2">
        <f t="shared" si="123"/>
        <v>4</v>
      </c>
      <c r="Q190" s="2">
        <v>4</v>
      </c>
      <c r="R190" s="2">
        <v>0</v>
      </c>
      <c r="S190" s="2">
        <v>0</v>
      </c>
      <c r="X190" s="3">
        <v>2</v>
      </c>
      <c r="Y190" s="1">
        <f>VLOOKUP($X190,[5]ölçme_sistemleri!I$1:L$65536,2,FALSE)</f>
        <v>0</v>
      </c>
      <c r="Z190" s="1">
        <f>VLOOKUP($X190,[5]ölçme_sistemleri!I$1:L$65536,3,FALSE)</f>
        <v>2</v>
      </c>
      <c r="AA190" s="1">
        <f>VLOOKUP($X190,[5]ölçme_sistemleri!I$1:L$65536,4,FALSE)</f>
        <v>1</v>
      </c>
      <c r="AB190" s="1">
        <f>$O190*[5]ölçme_sistemleri!J$13</f>
        <v>4</v>
      </c>
      <c r="AC190" s="1">
        <f>$O190*[5]ölçme_sistemleri!K$13</f>
        <v>8</v>
      </c>
      <c r="AD190" s="1">
        <f>$O190*[5]ölçme_sistemleri!L$13</f>
        <v>12</v>
      </c>
      <c r="AE190" s="1">
        <f t="shared" si="124"/>
        <v>0</v>
      </c>
      <c r="AF190" s="1">
        <f t="shared" si="125"/>
        <v>16</v>
      </c>
      <c r="AG190" s="1">
        <f t="shared" si="126"/>
        <v>12</v>
      </c>
      <c r="AH190" s="1">
        <f t="shared" si="127"/>
        <v>28</v>
      </c>
      <c r="AI190" s="1">
        <v>14</v>
      </c>
      <c r="AJ190" s="1">
        <f>VLOOKUP(X190,[5]ölçme_sistemleri!I$1:M$65536,5,FALSE)</f>
        <v>2</v>
      </c>
      <c r="AK190" s="1">
        <f t="shared" si="128"/>
        <v>392</v>
      </c>
      <c r="AL190" s="1">
        <f>AI190*6</f>
        <v>84</v>
      </c>
      <c r="AM190" s="1">
        <f>VLOOKUP(X190,[5]ölçme_sistemleri!I$1:N$65536,6,FALSE)</f>
        <v>3</v>
      </c>
      <c r="AN190" s="1">
        <v>2</v>
      </c>
      <c r="AO190" s="1">
        <f t="shared" si="129"/>
        <v>6</v>
      </c>
      <c r="AP190" s="1">
        <v>14</v>
      </c>
      <c r="AQ190" s="1">
        <f t="shared" si="105"/>
        <v>56</v>
      </c>
      <c r="AR190" s="1">
        <f t="shared" si="130"/>
        <v>174</v>
      </c>
      <c r="AS190" s="1">
        <f t="shared" ref="AS190:AS207" si="142">IF(BE190="s",25,30)</f>
        <v>25</v>
      </c>
      <c r="AT190" s="1">
        <f t="shared" si="131"/>
        <v>7</v>
      </c>
      <c r="AU190" s="1">
        <f t="shared" si="106"/>
        <v>0</v>
      </c>
      <c r="AV190" s="1">
        <f t="shared" si="138"/>
        <v>0</v>
      </c>
      <c r="AW190" s="1">
        <f t="shared" si="139"/>
        <v>0</v>
      </c>
      <c r="AX190" s="1">
        <f t="shared" si="140"/>
        <v>0</v>
      </c>
      <c r="AY190" s="1">
        <f t="shared" si="132"/>
        <v>-28</v>
      </c>
      <c r="AZ190" s="1">
        <f t="shared" si="141"/>
        <v>0</v>
      </c>
      <c r="BA190" s="1">
        <f t="shared" si="133"/>
        <v>-84</v>
      </c>
      <c r="BB190" s="1">
        <f t="shared" si="137"/>
        <v>0</v>
      </c>
      <c r="BC190" s="1">
        <f t="shared" si="134"/>
        <v>-6</v>
      </c>
      <c r="BD190" s="1">
        <f t="shared" si="135"/>
        <v>0</v>
      </c>
      <c r="BE190" s="1" t="s">
        <v>65</v>
      </c>
      <c r="BF190" s="1">
        <f t="shared" si="116"/>
        <v>56</v>
      </c>
      <c r="BG190" s="1">
        <f t="shared" ref="BG190:BG210" si="143">IF(BL190="Z",(BF190+BD190)*1.15,(BF190+BD190))</f>
        <v>56</v>
      </c>
      <c r="BH190" s="1">
        <f t="shared" si="136"/>
        <v>2</v>
      </c>
      <c r="BI190" s="1" t="e">
        <f>IF(BH190-#REF!=0,"DOĞRU","YANLIŞ")</f>
        <v>#REF!</v>
      </c>
      <c r="BJ190" s="1" t="e">
        <f>#REF!-BH190</f>
        <v>#REF!</v>
      </c>
      <c r="BK190" s="1">
        <v>0</v>
      </c>
      <c r="BM190" s="1">
        <v>0</v>
      </c>
      <c r="BO190" s="1">
        <v>2</v>
      </c>
      <c r="BT190" s="8">
        <f t="shared" si="118"/>
        <v>0</v>
      </c>
      <c r="BU190" s="9"/>
      <c r="BV190" s="10"/>
      <c r="BW190" s="11"/>
      <c r="BX190" s="11"/>
      <c r="BY190" s="11"/>
      <c r="BZ190" s="11"/>
      <c r="CA190" s="11"/>
      <c r="CB190" s="12"/>
      <c r="CC190" s="13"/>
      <c r="CD190" s="14"/>
      <c r="CL190" s="11"/>
      <c r="CM190" s="11"/>
      <c r="CN190" s="11"/>
      <c r="CO190" s="11"/>
      <c r="CP190" s="11"/>
      <c r="CQ190" s="49"/>
      <c r="CR190" s="46"/>
      <c r="CS190" s="49"/>
      <c r="CT190" s="48"/>
      <c r="CU190" s="49"/>
      <c r="CV190" s="48"/>
      <c r="CW190" s="49"/>
      <c r="CX190" s="49"/>
    </row>
    <row r="191" spans="1:103" hidden="1" x14ac:dyDescent="0.25">
      <c r="A191" s="7" t="s">
        <v>233</v>
      </c>
      <c r="B191" s="7" t="s">
        <v>234</v>
      </c>
      <c r="C191" s="1" t="s">
        <v>234</v>
      </c>
      <c r="D191" s="2" t="s">
        <v>63</v>
      </c>
      <c r="E191" s="2" t="s">
        <v>63</v>
      </c>
      <c r="F191" s="3" t="e">
        <f>IF(BE191="S",
IF(#REF!+BM191=2018,
IF(#REF!=1,"18-19/1",
IF(#REF!=2,"18-19/2",
IF(#REF!=3,"19-20/1",
IF(#REF!=4,"19-20/2",
IF(#REF!=5,"20-21/1",
IF(#REF!=6,"20-21/2",
IF(#REF!=7,"21-22/1",
IF(#REF!=8,"21-22/2","Hata1")))))))),
IF(#REF!+BM191=2019,
IF(#REF!=1,"19-20/1",
IF(#REF!=2,"19-20/2",
IF(#REF!=3,"20-21/1",
IF(#REF!=4,"20-21/2",
IF(#REF!=5,"21-22/1",
IF(#REF!=6,"21-22/2",
IF(#REF!=7,"22-23/1",
IF(#REF!=8,"22-23/2","Hata2")))))))),
IF(#REF!+BM191=2020,
IF(#REF!=1,"20-21/1",
IF(#REF!=2,"20-21/2",
IF(#REF!=3,"21-22/1",
IF(#REF!=4,"21-22/2",
IF(#REF!=5,"22-23/1",
IF(#REF!=6,"22-23/2",
IF(#REF!=7,"23-24/1",
IF(#REF!=8,"23-24/2","Hata3")))))))),
IF(#REF!+BM191=2021,
IF(#REF!=1,"21-22/1",
IF(#REF!=2,"21-22/2",
IF(#REF!=3,"22-23/1",
IF(#REF!=4,"22-23/2",
IF(#REF!=5,"23-24/1",
IF(#REF!=6,"23-24/2",
IF(#REF!=7,"24-25/1",
IF(#REF!=8,"24-25/2","Hata4")))))))),
IF(#REF!+BM191=2022,
IF(#REF!=1,"22-23/1",
IF(#REF!=2,"22-23/2",
IF(#REF!=3,"23-24/1",
IF(#REF!=4,"23-24/2",
IF(#REF!=5,"24-25/1",
IF(#REF!=6,"24-25/2",
IF(#REF!=7,"25-26/1",
IF(#REF!=8,"25-26/2","Hata5")))))))),
IF(#REF!+BM191=2023,
IF(#REF!=1,"23-24/1",
IF(#REF!=2,"23-24/2",
IF(#REF!=3,"24-25/1",
IF(#REF!=4,"24-25/2",
IF(#REF!=5,"25-26/1",
IF(#REF!=6,"25-26/2",
IF(#REF!=7,"26-27/1",
IF(#REF!=8,"26-27/2","Hata6")))))))),
)))))),
IF(BE191="T",
IF(#REF!+BM191=2018,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1" s="1" t="s">
        <v>141</v>
      </c>
      <c r="J191" s="1">
        <v>4234771</v>
      </c>
      <c r="L191" s="2">
        <v>3526</v>
      </c>
      <c r="N191" s="2">
        <v>5</v>
      </c>
      <c r="O191" s="6">
        <f t="shared" si="122"/>
        <v>3</v>
      </c>
      <c r="P191" s="2">
        <f t="shared" si="123"/>
        <v>3</v>
      </c>
      <c r="Q191" s="2">
        <v>0</v>
      </c>
      <c r="R191" s="2">
        <v>0</v>
      </c>
      <c r="S191" s="2">
        <v>3</v>
      </c>
      <c r="X191" s="3">
        <v>3</v>
      </c>
      <c r="Y191" s="1">
        <f>VLOOKUP($X191,[5]ölçme_sistemleri!I$1:L$65536,2,FALSE)</f>
        <v>2</v>
      </c>
      <c r="Z191" s="1">
        <f>VLOOKUP($X191,[5]ölçme_sistemleri!I$1:L$65536,3,FALSE)</f>
        <v>1</v>
      </c>
      <c r="AA191" s="1">
        <f>VLOOKUP($X191,[5]ölçme_sistemleri!I$1:L$65536,4,FALSE)</f>
        <v>1</v>
      </c>
      <c r="AB191" s="1">
        <f>$O191*[5]ölçme_sistemleri!J$13</f>
        <v>3</v>
      </c>
      <c r="AC191" s="1">
        <f>$O191*[5]ölçme_sistemleri!K$13</f>
        <v>6</v>
      </c>
      <c r="AD191" s="1">
        <f>$O191*[5]ölçme_sistemleri!L$13</f>
        <v>9</v>
      </c>
      <c r="AE191" s="1">
        <f t="shared" si="124"/>
        <v>6</v>
      </c>
      <c r="AF191" s="1">
        <f t="shared" si="125"/>
        <v>6</v>
      </c>
      <c r="AG191" s="1">
        <f t="shared" si="126"/>
        <v>9</v>
      </c>
      <c r="AH191" s="1">
        <f t="shared" si="127"/>
        <v>21</v>
      </c>
      <c r="AI191" s="1">
        <v>14</v>
      </c>
      <c r="AJ191" s="1">
        <f>VLOOKUP(X191,[5]ölçme_sistemleri!I$1:M$65536,5,FALSE)</f>
        <v>3</v>
      </c>
      <c r="AK191" s="1">
        <f t="shared" si="128"/>
        <v>294</v>
      </c>
      <c r="AL191" s="1">
        <f>AI191*4</f>
        <v>56</v>
      </c>
      <c r="AM191" s="1">
        <f>VLOOKUP(X191,[5]ölçme_sistemleri!I$1:N$65536,6,FALSE)</f>
        <v>4</v>
      </c>
      <c r="AN191" s="1">
        <v>2</v>
      </c>
      <c r="AO191" s="1">
        <f t="shared" si="129"/>
        <v>8</v>
      </c>
      <c r="AP191" s="1">
        <v>14</v>
      </c>
      <c r="AQ191" s="1">
        <f t="shared" si="105"/>
        <v>42</v>
      </c>
      <c r="AR191" s="1">
        <f t="shared" si="130"/>
        <v>127</v>
      </c>
      <c r="AS191" s="1">
        <f t="shared" si="142"/>
        <v>25</v>
      </c>
      <c r="AT191" s="1">
        <f t="shared" si="131"/>
        <v>5</v>
      </c>
      <c r="AU191" s="1">
        <f t="shared" si="106"/>
        <v>0</v>
      </c>
      <c r="AV191" s="1">
        <f t="shared" si="138"/>
        <v>0</v>
      </c>
      <c r="AW191" s="1">
        <f t="shared" si="139"/>
        <v>0</v>
      </c>
      <c r="AX191" s="1">
        <f t="shared" si="140"/>
        <v>0</v>
      </c>
      <c r="AY191" s="1">
        <f t="shared" si="132"/>
        <v>-21</v>
      </c>
      <c r="AZ191" s="1">
        <f t="shared" si="141"/>
        <v>0</v>
      </c>
      <c r="BA191" s="1">
        <f t="shared" si="133"/>
        <v>-56</v>
      </c>
      <c r="BB191" s="1">
        <f t="shared" si="137"/>
        <v>0</v>
      </c>
      <c r="BC191" s="1">
        <f t="shared" si="134"/>
        <v>-8</v>
      </c>
      <c r="BD191" s="1">
        <f t="shared" si="135"/>
        <v>0</v>
      </c>
      <c r="BE191" s="1" t="s">
        <v>65</v>
      </c>
      <c r="BF191" s="1">
        <f t="shared" ref="BF191:BF210" si="144">IF(BL191="A",0,IF(BE191="s",14*O191,IF(BE191="T",11*O191,"HATA")))</f>
        <v>42</v>
      </c>
      <c r="BG191" s="1">
        <f t="shared" si="143"/>
        <v>42</v>
      </c>
      <c r="BH191" s="1">
        <f t="shared" si="136"/>
        <v>1</v>
      </c>
      <c r="BI191" s="1" t="e">
        <f>IF(BH191-#REF!=0,"DOĞRU","YANLIŞ")</f>
        <v>#REF!</v>
      </c>
      <c r="BJ191" s="1" t="e">
        <f>#REF!-BH191</f>
        <v>#REF!</v>
      </c>
      <c r="BK191" s="1">
        <v>0</v>
      </c>
      <c r="BM191" s="1">
        <v>0</v>
      </c>
      <c r="BO191" s="1">
        <v>2</v>
      </c>
      <c r="BT191" s="8">
        <f t="shared" si="118"/>
        <v>0</v>
      </c>
      <c r="BU191" s="9"/>
      <c r="BV191" s="10"/>
      <c r="BW191" s="11"/>
      <c r="BX191" s="11"/>
      <c r="BY191" s="11"/>
      <c r="BZ191" s="11"/>
      <c r="CA191" s="11"/>
      <c r="CB191" s="12"/>
      <c r="CC191" s="13"/>
      <c r="CD191" s="14"/>
      <c r="CL191" s="11"/>
      <c r="CM191" s="11"/>
      <c r="CN191" s="11"/>
      <c r="CO191" s="11"/>
      <c r="CP191" s="11"/>
      <c r="CQ191" s="49"/>
      <c r="CR191" s="46"/>
      <c r="CS191" s="49"/>
      <c r="CT191" s="48"/>
      <c r="CU191" s="49"/>
      <c r="CV191" s="48"/>
      <c r="CW191" s="49"/>
      <c r="CX191" s="49"/>
      <c r="CY191"/>
    </row>
    <row r="192" spans="1:103" hidden="1" x14ac:dyDescent="0.25">
      <c r="A192" s="7" t="s">
        <v>76</v>
      </c>
      <c r="B192" s="7" t="s">
        <v>77</v>
      </c>
      <c r="C192" s="1" t="s">
        <v>77</v>
      </c>
      <c r="D192" s="2" t="s">
        <v>58</v>
      </c>
      <c r="E192" s="2" t="s">
        <v>58</v>
      </c>
      <c r="F192" s="3" t="e">
        <f>IF(BE192="S",
IF(#REF!+BM192=2018,
IF(#REF!=1,"18-19/1",
IF(#REF!=2,"18-19/2",
IF(#REF!=3,"19-20/1",
IF(#REF!=4,"19-20/2",
IF(#REF!=5,"20-21/1",
IF(#REF!=6,"20-21/2",
IF(#REF!=7,"21-22/1",
IF(#REF!=8,"21-22/2","Hata1")))))))),
IF(#REF!+BM192=2019,
IF(#REF!=1,"19-20/1",
IF(#REF!=2,"19-20/2",
IF(#REF!=3,"20-21/1",
IF(#REF!=4,"20-21/2",
IF(#REF!=5,"21-22/1",
IF(#REF!=6,"21-22/2",
IF(#REF!=7,"22-23/1",
IF(#REF!=8,"22-23/2","Hata2")))))))),
IF(#REF!+BM192=2020,
IF(#REF!=1,"20-21/1",
IF(#REF!=2,"20-21/2",
IF(#REF!=3,"21-22/1",
IF(#REF!=4,"21-22/2",
IF(#REF!=5,"22-23/1",
IF(#REF!=6,"22-23/2",
IF(#REF!=7,"23-24/1",
IF(#REF!=8,"23-24/2","Hata3")))))))),
IF(#REF!+BM192=2021,
IF(#REF!=1,"21-22/1",
IF(#REF!=2,"21-22/2",
IF(#REF!=3,"22-23/1",
IF(#REF!=4,"22-23/2",
IF(#REF!=5,"23-24/1",
IF(#REF!=6,"23-24/2",
IF(#REF!=7,"24-25/1",
IF(#REF!=8,"24-25/2","Hata4")))))))),
IF(#REF!+BM192=2022,
IF(#REF!=1,"22-23/1",
IF(#REF!=2,"22-23/2",
IF(#REF!=3,"23-24/1",
IF(#REF!=4,"23-24/2",
IF(#REF!=5,"24-25/1",
IF(#REF!=6,"24-25/2",
IF(#REF!=7,"25-26/1",
IF(#REF!=8,"25-26/2","Hata5")))))))),
IF(#REF!+BM192=2023,
IF(#REF!=1,"23-24/1",
IF(#REF!=2,"23-24/2",
IF(#REF!=3,"24-25/1",
IF(#REF!=4,"24-25/2",
IF(#REF!=5,"25-26/1",
IF(#REF!=6,"25-26/2",
IF(#REF!=7,"26-27/1",
IF(#REF!=8,"26-27/2","Hata6")))))))),
)))))),
IF(BE192="T",
IF(#REF!+BM192=2018,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2" s="1" t="s">
        <v>141</v>
      </c>
      <c r="J192" s="1">
        <v>4234771</v>
      </c>
      <c r="L192" s="2">
        <v>3403</v>
      </c>
      <c r="N192" s="2">
        <v>4</v>
      </c>
      <c r="O192" s="6">
        <f t="shared" si="122"/>
        <v>2</v>
      </c>
      <c r="P192" s="2">
        <f t="shared" si="123"/>
        <v>2</v>
      </c>
      <c r="Q192" s="2">
        <v>0</v>
      </c>
      <c r="R192" s="2">
        <v>0</v>
      </c>
      <c r="S192" s="2">
        <v>2</v>
      </c>
      <c r="X192" s="3">
        <v>7</v>
      </c>
      <c r="Y192" s="1">
        <f>VLOOKUP($X192,[5]ölçme_sistemleri!I$1:L$65536,2,FALSE)</f>
        <v>0</v>
      </c>
      <c r="Z192" s="1">
        <f>VLOOKUP($X192,[5]ölçme_sistemleri!I$1:L$65536,3,FALSE)</f>
        <v>1</v>
      </c>
      <c r="AA192" s="1">
        <f>VLOOKUP($X192,[5]ölçme_sistemleri!I$1:L$65536,4,FALSE)</f>
        <v>1</v>
      </c>
      <c r="AB192" s="1">
        <f>$O192*[5]ölçme_sistemleri!J$13</f>
        <v>2</v>
      </c>
      <c r="AC192" s="1">
        <f>$O192*[5]ölçme_sistemleri!K$13</f>
        <v>4</v>
      </c>
      <c r="AD192" s="1">
        <f>$O192*[5]ölçme_sistemleri!L$13</f>
        <v>6</v>
      </c>
      <c r="AE192" s="1">
        <f t="shared" si="124"/>
        <v>0</v>
      </c>
      <c r="AF192" s="1">
        <f t="shared" si="125"/>
        <v>4</v>
      </c>
      <c r="AG192" s="1">
        <f t="shared" si="126"/>
        <v>6</v>
      </c>
      <c r="AH192" s="1">
        <f t="shared" si="127"/>
        <v>10</v>
      </c>
      <c r="AI192" s="1">
        <v>14</v>
      </c>
      <c r="AJ192" s="1">
        <f>VLOOKUP(X192,[5]ölçme_sistemleri!I$1:M$65536,5,FALSE)</f>
        <v>1</v>
      </c>
      <c r="AK192" s="1">
        <f t="shared" si="128"/>
        <v>140</v>
      </c>
      <c r="AL192" s="1">
        <f>AI192*4</f>
        <v>56</v>
      </c>
      <c r="AM192" s="1">
        <f>VLOOKUP(X192,[5]ölçme_sistemleri!I$1:N$65536,6,FALSE)</f>
        <v>2</v>
      </c>
      <c r="AN192" s="1">
        <v>2</v>
      </c>
      <c r="AO192" s="1">
        <f t="shared" si="129"/>
        <v>4</v>
      </c>
      <c r="AP192" s="1">
        <v>14</v>
      </c>
      <c r="AQ192" s="1">
        <f t="shared" si="105"/>
        <v>28</v>
      </c>
      <c r="AR192" s="1">
        <f t="shared" si="130"/>
        <v>98</v>
      </c>
      <c r="AS192" s="1">
        <f t="shared" si="142"/>
        <v>25</v>
      </c>
      <c r="AT192" s="1">
        <f t="shared" si="131"/>
        <v>4</v>
      </c>
      <c r="AU192" s="1">
        <f t="shared" si="106"/>
        <v>0</v>
      </c>
      <c r="AV192" s="1">
        <f t="shared" si="138"/>
        <v>0</v>
      </c>
      <c r="AW192" s="1">
        <f t="shared" si="139"/>
        <v>0</v>
      </c>
      <c r="AX192" s="1">
        <f t="shared" si="140"/>
        <v>0</v>
      </c>
      <c r="AY192" s="1">
        <f t="shared" si="132"/>
        <v>-10</v>
      </c>
      <c r="AZ192" s="1">
        <f t="shared" si="141"/>
        <v>0</v>
      </c>
      <c r="BA192" s="1">
        <f t="shared" si="133"/>
        <v>-56</v>
      </c>
      <c r="BB192" s="1">
        <f t="shared" si="137"/>
        <v>0</v>
      </c>
      <c r="BC192" s="1">
        <f t="shared" si="134"/>
        <v>-4</v>
      </c>
      <c r="BD192" s="1">
        <f t="shared" si="135"/>
        <v>0</v>
      </c>
      <c r="BE192" s="1" t="s">
        <v>65</v>
      </c>
      <c r="BF192" s="1">
        <f t="shared" si="144"/>
        <v>28</v>
      </c>
      <c r="BG192" s="1">
        <f t="shared" si="143"/>
        <v>28</v>
      </c>
      <c r="BH192" s="1">
        <f t="shared" si="136"/>
        <v>1</v>
      </c>
      <c r="BI192" s="1" t="e">
        <f>IF(BH192-#REF!=0,"DOĞRU","YANLIŞ")</f>
        <v>#REF!</v>
      </c>
      <c r="BJ192" s="1" t="e">
        <f>#REF!-BH192</f>
        <v>#REF!</v>
      </c>
      <c r="BK192" s="1">
        <v>0</v>
      </c>
      <c r="BM192" s="1">
        <v>0</v>
      </c>
      <c r="BO192" s="1">
        <v>4</v>
      </c>
      <c r="BT192" s="8">
        <f t="shared" si="118"/>
        <v>0</v>
      </c>
      <c r="BU192" s="9"/>
      <c r="BV192" s="10"/>
      <c r="BW192" s="11"/>
      <c r="BX192" s="11"/>
      <c r="BY192" s="11"/>
      <c r="BZ192" s="11"/>
      <c r="CA192" s="11"/>
      <c r="CB192" s="12"/>
      <c r="CC192" s="13"/>
      <c r="CD192" s="14"/>
      <c r="CL192" s="11"/>
      <c r="CM192" s="11"/>
      <c r="CN192" s="11"/>
      <c r="CO192" s="11"/>
      <c r="CP192" s="11"/>
      <c r="CQ192" s="54"/>
      <c r="CR192" s="55"/>
      <c r="CS192" s="55"/>
      <c r="CT192" s="55"/>
      <c r="CU192" s="48"/>
      <c r="CV192" s="48"/>
      <c r="CW192" s="49"/>
      <c r="CX192" s="49"/>
    </row>
    <row r="193" spans="1:102" x14ac:dyDescent="0.25">
      <c r="A193" s="112" t="s">
        <v>136</v>
      </c>
      <c r="B193" s="112" t="s">
        <v>134</v>
      </c>
      <c r="C193" s="1" t="s">
        <v>134</v>
      </c>
      <c r="D193" s="2" t="s">
        <v>63</v>
      </c>
      <c r="E193" s="2" t="s">
        <v>63</v>
      </c>
      <c r="F193" s="3" t="e">
        <f>IF(BE193="S",
IF(#REF!+BM193=2018,
IF(#REF!=1,"18-19/1",
IF(#REF!=2,"18-19/2",
IF(#REF!=3,"19-20/1",
IF(#REF!=4,"19-20/2",
IF(#REF!=5,"20-21/1",
IF(#REF!=6,"20-21/2",
IF(#REF!=7,"21-22/1",
IF(#REF!=8,"21-22/2","Hata1")))))))),
IF(#REF!+BM193=2019,
IF(#REF!=1,"19-20/1",
IF(#REF!=2,"19-20/2",
IF(#REF!=3,"20-21/1",
IF(#REF!=4,"20-21/2",
IF(#REF!=5,"21-22/1",
IF(#REF!=6,"21-22/2",
IF(#REF!=7,"22-23/1",
IF(#REF!=8,"22-23/2","Hata2")))))))),
IF(#REF!+BM193=2020,
IF(#REF!=1,"20-21/1",
IF(#REF!=2,"20-21/2",
IF(#REF!=3,"21-22/1",
IF(#REF!=4,"21-22/2",
IF(#REF!=5,"22-23/1",
IF(#REF!=6,"22-23/2",
IF(#REF!=7,"23-24/1",
IF(#REF!=8,"23-24/2","Hata3")))))))),
IF(#REF!+BM193=2021,
IF(#REF!=1,"21-22/1",
IF(#REF!=2,"21-22/2",
IF(#REF!=3,"22-23/1",
IF(#REF!=4,"22-23/2",
IF(#REF!=5,"23-24/1",
IF(#REF!=6,"23-24/2",
IF(#REF!=7,"24-25/1",
IF(#REF!=8,"24-25/2","Hata4")))))))),
IF(#REF!+BM193=2022,
IF(#REF!=1,"22-23/1",
IF(#REF!=2,"22-23/2",
IF(#REF!=3,"23-24/1",
IF(#REF!=4,"23-24/2",
IF(#REF!=5,"24-25/1",
IF(#REF!=6,"24-25/2",
IF(#REF!=7,"25-26/1",
IF(#REF!=8,"25-26/2","Hata5")))))))),
IF(#REF!+BM193=2023,
IF(#REF!=1,"23-24/1",
IF(#REF!=2,"23-24/2",
IF(#REF!=3,"24-25/1",
IF(#REF!=4,"24-25/2",
IF(#REF!=5,"25-26/1",
IF(#REF!=6,"25-26/2",
IF(#REF!=7,"26-27/1",
IF(#REF!=8,"26-27/2","Hata6")))))))),
)))))),
IF(BE193="T",
IF(#REF!+BM193=2018,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3" s="112" t="s">
        <v>141</v>
      </c>
      <c r="J193" s="1">
        <v>4234771</v>
      </c>
      <c r="L193" s="2">
        <v>3426</v>
      </c>
      <c r="N193" s="113">
        <v>5</v>
      </c>
      <c r="O193" s="89">
        <f t="shared" si="122"/>
        <v>4</v>
      </c>
      <c r="P193" s="2">
        <f t="shared" si="123"/>
        <v>4</v>
      </c>
      <c r="Q193" s="2">
        <v>2</v>
      </c>
      <c r="R193" s="2">
        <v>0</v>
      </c>
      <c r="S193" s="2">
        <v>2</v>
      </c>
      <c r="X193" s="90">
        <v>4</v>
      </c>
      <c r="Y193" s="1">
        <f>VLOOKUP($X193,[24]ölçme_sistemleri!I$1:L$65536,2,FALSE)</f>
        <v>0</v>
      </c>
      <c r="Z193" s="1">
        <f>VLOOKUP($X193,[24]ölçme_sistemleri!I$1:L$65536,3,FALSE)</f>
        <v>1</v>
      </c>
      <c r="AA193" s="1">
        <f>VLOOKUP($X193,[24]ölçme_sistemleri!I$1:L$65536,4,FALSE)</f>
        <v>1</v>
      </c>
      <c r="AB193" s="1">
        <f>$O193*[24]ölçme_sistemleri!J$13</f>
        <v>4</v>
      </c>
      <c r="AC193" s="1">
        <f>$O193*[24]ölçme_sistemleri!K$13</f>
        <v>8</v>
      </c>
      <c r="AD193" s="1">
        <f>$O193*[24]ölçme_sistemleri!L$13</f>
        <v>12</v>
      </c>
      <c r="AE193" s="1">
        <f t="shared" si="124"/>
        <v>0</v>
      </c>
      <c r="AF193" s="1">
        <f t="shared" si="125"/>
        <v>8</v>
      </c>
      <c r="AG193" s="1">
        <f t="shared" si="126"/>
        <v>12</v>
      </c>
      <c r="AH193" s="1">
        <f t="shared" si="127"/>
        <v>20</v>
      </c>
      <c r="AI193" s="1">
        <v>14</v>
      </c>
      <c r="AJ193" s="1">
        <f>VLOOKUP(X193,[24]ölçme_sistemleri!I$1:M$65536,5,FALSE)</f>
        <v>1</v>
      </c>
      <c r="AK193" s="1">
        <f t="shared" si="128"/>
        <v>280</v>
      </c>
      <c r="AL193" s="1">
        <f>(Q193+S193)*AI193</f>
        <v>56</v>
      </c>
      <c r="AM193" s="1">
        <f>VLOOKUP(X193,[24]ölçme_sistemleri!I$1:N$65536,6,FALSE)</f>
        <v>2</v>
      </c>
      <c r="AN193" s="1">
        <v>2</v>
      </c>
      <c r="AO193" s="1">
        <f t="shared" si="129"/>
        <v>4</v>
      </c>
      <c r="AP193" s="1">
        <v>14</v>
      </c>
      <c r="AQ193" s="1">
        <f t="shared" si="105"/>
        <v>56</v>
      </c>
      <c r="AR193" s="1">
        <f t="shared" si="130"/>
        <v>136</v>
      </c>
      <c r="AS193" s="1">
        <f t="shared" si="142"/>
        <v>25</v>
      </c>
      <c r="AT193" s="1">
        <f t="shared" si="131"/>
        <v>5</v>
      </c>
      <c r="AU193" s="1">
        <f t="shared" si="106"/>
        <v>0</v>
      </c>
      <c r="AV193" s="1">
        <f t="shared" si="138"/>
        <v>0</v>
      </c>
      <c r="AW193" s="1">
        <f t="shared" si="139"/>
        <v>0</v>
      </c>
      <c r="AX193" s="1">
        <f t="shared" si="140"/>
        <v>0</v>
      </c>
      <c r="AY193" s="1">
        <f t="shared" si="132"/>
        <v>-20</v>
      </c>
      <c r="AZ193" s="1">
        <f t="shared" si="141"/>
        <v>0</v>
      </c>
      <c r="BA193" s="1">
        <f t="shared" si="133"/>
        <v>-56</v>
      </c>
      <c r="BB193" s="1">
        <f t="shared" si="137"/>
        <v>0</v>
      </c>
      <c r="BC193" s="1">
        <f t="shared" si="134"/>
        <v>-4</v>
      </c>
      <c r="BD193" s="1">
        <f t="shared" si="135"/>
        <v>0</v>
      </c>
      <c r="BE193" s="1" t="s">
        <v>65</v>
      </c>
      <c r="BF193" s="1">
        <f t="shared" si="144"/>
        <v>56</v>
      </c>
      <c r="BG193" s="1">
        <f t="shared" si="143"/>
        <v>56</v>
      </c>
      <c r="BH193" s="1">
        <f t="shared" si="136"/>
        <v>2</v>
      </c>
      <c r="BI193" s="1" t="e">
        <f>IF(BH193-#REF!=0,"DOĞRU","YANLIŞ")</f>
        <v>#REF!</v>
      </c>
      <c r="BJ193" s="1" t="e">
        <f>#REF!-BH193</f>
        <v>#REF!</v>
      </c>
      <c r="BK193" s="1">
        <v>1</v>
      </c>
      <c r="BM193" s="1">
        <v>0</v>
      </c>
      <c r="BO193" s="1">
        <v>2</v>
      </c>
      <c r="BT193" s="8">
        <f t="shared" si="118"/>
        <v>0</v>
      </c>
      <c r="BU193" s="9"/>
      <c r="BV193" s="10"/>
      <c r="BW193" s="11"/>
      <c r="BX193" s="11"/>
      <c r="BY193" s="11"/>
      <c r="BZ193" s="11"/>
      <c r="CA193" s="11"/>
      <c r="CB193" s="12"/>
      <c r="CC193" s="13"/>
      <c r="CD193" s="14"/>
      <c r="CL193" s="114"/>
      <c r="CM193" s="114"/>
      <c r="CN193" s="114"/>
      <c r="CO193" s="114"/>
      <c r="CP193" s="114" t="s">
        <v>442</v>
      </c>
      <c r="CQ193" s="111">
        <v>44324</v>
      </c>
      <c r="CR193" s="114" t="s">
        <v>529</v>
      </c>
      <c r="CS193" s="93"/>
      <c r="CT193" s="91"/>
      <c r="CU193" s="48"/>
      <c r="CV193" s="48"/>
      <c r="CW193" s="49"/>
      <c r="CX193" s="49"/>
    </row>
    <row r="194" spans="1:102" x14ac:dyDescent="0.25">
      <c r="A194" s="92" t="s">
        <v>142</v>
      </c>
      <c r="B194" s="92" t="s">
        <v>143</v>
      </c>
      <c r="C194" s="1" t="s">
        <v>143</v>
      </c>
      <c r="D194" s="2" t="s">
        <v>63</v>
      </c>
      <c r="E194" s="2" t="s">
        <v>63</v>
      </c>
      <c r="F194" s="3" t="e">
        <f>IF(BE194="S",
IF(#REF!+BM194=2018,
IF(#REF!=1,"18-19/1",
IF(#REF!=2,"18-19/2",
IF(#REF!=3,"19-20/1",
IF(#REF!=4,"19-20/2",
IF(#REF!=5,"20-21/1",
IF(#REF!=6,"20-21/2",
IF(#REF!=7,"21-22/1",
IF(#REF!=8,"21-22/2","Hata1")))))))),
IF(#REF!+BM194=2019,
IF(#REF!=1,"19-20/1",
IF(#REF!=2,"19-20/2",
IF(#REF!=3,"20-21/1",
IF(#REF!=4,"20-21/2",
IF(#REF!=5,"21-22/1",
IF(#REF!=6,"21-22/2",
IF(#REF!=7,"22-23/1",
IF(#REF!=8,"22-23/2","Hata2")))))))),
IF(#REF!+BM194=2020,
IF(#REF!=1,"20-21/1",
IF(#REF!=2,"20-21/2",
IF(#REF!=3,"21-22/1",
IF(#REF!=4,"21-22/2",
IF(#REF!=5,"22-23/1",
IF(#REF!=6,"22-23/2",
IF(#REF!=7,"23-24/1",
IF(#REF!=8,"23-24/2","Hata3")))))))),
IF(#REF!+BM194=2021,
IF(#REF!=1,"21-22/1",
IF(#REF!=2,"21-22/2",
IF(#REF!=3,"22-23/1",
IF(#REF!=4,"22-23/2",
IF(#REF!=5,"23-24/1",
IF(#REF!=6,"23-24/2",
IF(#REF!=7,"24-25/1",
IF(#REF!=8,"24-25/2","Hata4")))))))),
IF(#REF!+BM194=2022,
IF(#REF!=1,"22-23/1",
IF(#REF!=2,"22-23/2",
IF(#REF!=3,"23-24/1",
IF(#REF!=4,"23-24/2",
IF(#REF!=5,"24-25/1",
IF(#REF!=6,"24-25/2",
IF(#REF!=7,"25-26/1",
IF(#REF!=8,"25-26/2","Hata5")))))))),
IF(#REF!+BM194=2023,
IF(#REF!=1,"23-24/1",
IF(#REF!=2,"23-24/2",
IF(#REF!=3,"24-25/1",
IF(#REF!=4,"24-25/2",
IF(#REF!=5,"25-26/1",
IF(#REF!=6,"25-26/2",
IF(#REF!=7,"26-27/1",
IF(#REF!=8,"26-27/2","Hata6")))))))),
)))))),
IF(BE194="T",
IF(#REF!+BM194=2018,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4" s="88" t="s">
        <v>141</v>
      </c>
      <c r="J194" s="1">
        <v>4234771</v>
      </c>
      <c r="L194" s="2">
        <v>3431</v>
      </c>
      <c r="N194" s="87">
        <v>5</v>
      </c>
      <c r="O194" s="89">
        <f t="shared" si="122"/>
        <v>4</v>
      </c>
      <c r="P194" s="2">
        <f t="shared" si="123"/>
        <v>4</v>
      </c>
      <c r="Q194" s="2">
        <v>2</v>
      </c>
      <c r="R194" s="2">
        <v>0</v>
      </c>
      <c r="S194" s="2">
        <v>2</v>
      </c>
      <c r="X194" s="90">
        <v>4</v>
      </c>
      <c r="Y194" s="1">
        <f>VLOOKUP($X194,[5]ölçme_sistemleri!I$1:L$65536,2,FALSE)</f>
        <v>0</v>
      </c>
      <c r="Z194" s="1">
        <f>VLOOKUP($X194,[5]ölçme_sistemleri!I$1:L$65536,3,FALSE)</f>
        <v>1</v>
      </c>
      <c r="AA194" s="1">
        <f>VLOOKUP($X194,[5]ölçme_sistemleri!I$1:L$65536,4,FALSE)</f>
        <v>1</v>
      </c>
      <c r="AB194" s="1">
        <f>$O194*[5]ölçme_sistemleri!J$13</f>
        <v>4</v>
      </c>
      <c r="AC194" s="1">
        <f>$O194*[5]ölçme_sistemleri!K$13</f>
        <v>8</v>
      </c>
      <c r="AD194" s="1">
        <f>$O194*[5]ölçme_sistemleri!L$13</f>
        <v>12</v>
      </c>
      <c r="AE194" s="1">
        <f t="shared" si="124"/>
        <v>0</v>
      </c>
      <c r="AF194" s="1">
        <f t="shared" si="125"/>
        <v>8</v>
      </c>
      <c r="AG194" s="1">
        <f t="shared" si="126"/>
        <v>12</v>
      </c>
      <c r="AH194" s="1">
        <f t="shared" si="127"/>
        <v>20</v>
      </c>
      <c r="AI194" s="1">
        <v>14</v>
      </c>
      <c r="AJ194" s="1">
        <f>VLOOKUP(X194,[5]ölçme_sistemleri!I$1:M$65536,5,FALSE)</f>
        <v>1</v>
      </c>
      <c r="AK194" s="1">
        <f t="shared" si="128"/>
        <v>280</v>
      </c>
      <c r="AL194" s="1">
        <f>(Q194+S194)*AI194</f>
        <v>56</v>
      </c>
      <c r="AM194" s="1">
        <f>VLOOKUP(X194,[5]ölçme_sistemleri!I$1:N$65536,6,FALSE)</f>
        <v>2</v>
      </c>
      <c r="AN194" s="1">
        <v>2</v>
      </c>
      <c r="AO194" s="1">
        <f t="shared" si="129"/>
        <v>4</v>
      </c>
      <c r="AP194" s="1">
        <v>14</v>
      </c>
      <c r="AQ194" s="1">
        <f t="shared" ref="AQ194:AQ210" si="145">AP194*P194</f>
        <v>56</v>
      </c>
      <c r="AR194" s="1">
        <f t="shared" si="130"/>
        <v>136</v>
      </c>
      <c r="AS194" s="1">
        <f t="shared" si="142"/>
        <v>25</v>
      </c>
      <c r="AT194" s="1">
        <f t="shared" si="131"/>
        <v>5</v>
      </c>
      <c r="AU194" s="1">
        <f t="shared" ref="AU194:AU210" si="146">ROUND(AT194-N194,0)</f>
        <v>0</v>
      </c>
      <c r="AV194" s="1">
        <f t="shared" si="138"/>
        <v>0</v>
      </c>
      <c r="AW194" s="1">
        <f t="shared" si="139"/>
        <v>0</v>
      </c>
      <c r="AX194" s="1">
        <f t="shared" si="140"/>
        <v>0</v>
      </c>
      <c r="AY194" s="1">
        <f t="shared" si="132"/>
        <v>-20</v>
      </c>
      <c r="AZ194" s="1">
        <f t="shared" si="141"/>
        <v>0</v>
      </c>
      <c r="BA194" s="1">
        <f t="shared" si="133"/>
        <v>-56</v>
      </c>
      <c r="BB194" s="1">
        <f t="shared" si="137"/>
        <v>0</v>
      </c>
      <c r="BC194" s="1">
        <f t="shared" si="134"/>
        <v>-4</v>
      </c>
      <c r="BD194" s="1">
        <f t="shared" si="135"/>
        <v>0</v>
      </c>
      <c r="BE194" s="1" t="s">
        <v>65</v>
      </c>
      <c r="BF194" s="1">
        <f t="shared" si="144"/>
        <v>56</v>
      </c>
      <c r="BG194" s="1">
        <f t="shared" si="143"/>
        <v>56</v>
      </c>
      <c r="BH194" s="1">
        <f t="shared" si="136"/>
        <v>2</v>
      </c>
      <c r="BI194" s="1" t="e">
        <f>IF(BH194-#REF!=0,"DOĞRU","YANLIŞ")</f>
        <v>#REF!</v>
      </c>
      <c r="BJ194" s="1" t="e">
        <f>#REF!-BH194</f>
        <v>#REF!</v>
      </c>
      <c r="BK194" s="1">
        <v>1</v>
      </c>
      <c r="BM194" s="1">
        <v>0</v>
      </c>
      <c r="BO194" s="1">
        <v>2</v>
      </c>
      <c r="BT194" s="8">
        <f t="shared" si="118"/>
        <v>0</v>
      </c>
      <c r="BU194" s="9"/>
      <c r="BV194" s="10"/>
      <c r="BW194" s="11"/>
      <c r="BX194" s="11"/>
      <c r="BY194" s="11"/>
      <c r="BZ194" s="11"/>
      <c r="CA194" s="11"/>
      <c r="CB194" s="12"/>
      <c r="CC194" s="13"/>
      <c r="CD194" s="14"/>
      <c r="CL194" s="82"/>
      <c r="CM194" s="82"/>
      <c r="CN194" s="82"/>
      <c r="CO194" s="82"/>
      <c r="CP194" s="82" t="s">
        <v>442</v>
      </c>
      <c r="CQ194" s="85">
        <v>44324</v>
      </c>
      <c r="CR194" s="83" t="s">
        <v>529</v>
      </c>
      <c r="CS194" s="91"/>
      <c r="CT194" s="91"/>
      <c r="CU194" s="48"/>
      <c r="CV194" s="48"/>
      <c r="CW194" s="49"/>
      <c r="CX194" s="49"/>
    </row>
    <row r="195" spans="1:102" hidden="1" x14ac:dyDescent="0.25">
      <c r="A195" s="7" t="s">
        <v>228</v>
      </c>
      <c r="B195" s="7" t="s">
        <v>422</v>
      </c>
      <c r="C195" s="1" t="s">
        <v>422</v>
      </c>
      <c r="D195" s="2" t="s">
        <v>63</v>
      </c>
      <c r="E195" s="2" t="s">
        <v>63</v>
      </c>
      <c r="F195" s="3" t="e">
        <f>IF(BE195="S",
IF(#REF!+BM195=2018,
IF(#REF!=1,"18-19/1",
IF(#REF!=2,"18-19/2",
IF(#REF!=3,"19-20/1",
IF(#REF!=4,"19-20/2",
IF(#REF!=5,"20-21/1",
IF(#REF!=6,"20-21/2",
IF(#REF!=7,"21-22/1",
IF(#REF!=8,"21-22/2","Hata1")))))))),
IF(#REF!+BM195=2019,
IF(#REF!=1,"19-20/1",
IF(#REF!=2,"19-20/2",
IF(#REF!=3,"20-21/1",
IF(#REF!=4,"20-21/2",
IF(#REF!=5,"21-22/1",
IF(#REF!=6,"21-22/2",
IF(#REF!=7,"22-23/1",
IF(#REF!=8,"22-23/2","Hata2")))))))),
IF(#REF!+BM195=2020,
IF(#REF!=1,"20-21/1",
IF(#REF!=2,"20-21/2",
IF(#REF!=3,"21-22/1",
IF(#REF!=4,"21-22/2",
IF(#REF!=5,"22-23/1",
IF(#REF!=6,"22-23/2",
IF(#REF!=7,"23-24/1",
IF(#REF!=8,"23-24/2","Hata3")))))))),
IF(#REF!+BM195=2021,
IF(#REF!=1,"21-22/1",
IF(#REF!=2,"21-22/2",
IF(#REF!=3,"22-23/1",
IF(#REF!=4,"22-23/2",
IF(#REF!=5,"23-24/1",
IF(#REF!=6,"23-24/2",
IF(#REF!=7,"24-25/1",
IF(#REF!=8,"24-25/2","Hata4")))))))),
IF(#REF!+BM195=2022,
IF(#REF!=1,"22-23/1",
IF(#REF!=2,"22-23/2",
IF(#REF!=3,"23-24/1",
IF(#REF!=4,"23-24/2",
IF(#REF!=5,"24-25/1",
IF(#REF!=6,"24-25/2",
IF(#REF!=7,"25-26/1",
IF(#REF!=8,"25-26/2","Hata5")))))))),
IF(#REF!+BM195=2023,
IF(#REF!=1,"23-24/1",
IF(#REF!=2,"23-24/2",
IF(#REF!=3,"24-25/1",
IF(#REF!=4,"24-25/2",
IF(#REF!=5,"25-26/1",
IF(#REF!=6,"25-26/2",
IF(#REF!=7,"26-27/1",
IF(#REF!=8,"26-27/2","Hata6")))))))),
)))))),
IF(BE195="T",
IF(#REF!+BM195=2018,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5" s="1" t="s">
        <v>141</v>
      </c>
      <c r="J195" s="1">
        <v>4234771</v>
      </c>
      <c r="L195" s="2">
        <v>2136</v>
      </c>
      <c r="N195" s="2">
        <v>6</v>
      </c>
      <c r="O195" s="6">
        <f t="shared" si="122"/>
        <v>3</v>
      </c>
      <c r="P195" s="2">
        <f t="shared" si="123"/>
        <v>4</v>
      </c>
      <c r="Q195" s="2">
        <v>2</v>
      </c>
      <c r="R195" s="2">
        <v>2</v>
      </c>
      <c r="S195" s="2">
        <v>0</v>
      </c>
      <c r="X195" s="3">
        <v>2</v>
      </c>
      <c r="Y195" s="1">
        <f>VLOOKUP($X195,[24]ölçme_sistemleri!I$1:L$65536,2,FALSE)</f>
        <v>0</v>
      </c>
      <c r="Z195" s="1">
        <f>VLOOKUP($X195,[24]ölçme_sistemleri!I$1:L$65536,3,FALSE)</f>
        <v>2</v>
      </c>
      <c r="AA195" s="1">
        <f>VLOOKUP($X195,[24]ölçme_sistemleri!I$1:L$65536,4,FALSE)</f>
        <v>1</v>
      </c>
      <c r="AB195" s="1">
        <f>$O195*[24]ölçme_sistemleri!J$13</f>
        <v>3</v>
      </c>
      <c r="AC195" s="1">
        <f>$O195*[24]ölçme_sistemleri!K$13</f>
        <v>6</v>
      </c>
      <c r="AD195" s="1">
        <f>$O195*[24]ölçme_sistemleri!L$13</f>
        <v>9</v>
      </c>
      <c r="AE195" s="1">
        <f t="shared" si="124"/>
        <v>0</v>
      </c>
      <c r="AF195" s="1">
        <f t="shared" si="125"/>
        <v>12</v>
      </c>
      <c r="AG195" s="1">
        <f t="shared" si="126"/>
        <v>9</v>
      </c>
      <c r="AH195" s="1">
        <f t="shared" si="127"/>
        <v>21</v>
      </c>
      <c r="AI195" s="1">
        <v>14</v>
      </c>
      <c r="AJ195" s="1">
        <f>VLOOKUP(X195,[24]ölçme_sistemleri!I$1:M$65536,5,FALSE)</f>
        <v>2</v>
      </c>
      <c r="AK195" s="1">
        <f t="shared" si="128"/>
        <v>294</v>
      </c>
      <c r="AL195" s="1">
        <f>AI195*6</f>
        <v>84</v>
      </c>
      <c r="AM195" s="1">
        <f>VLOOKUP(X195,[24]ölçme_sistemleri!I$1:N$65536,6,FALSE)</f>
        <v>3</v>
      </c>
      <c r="AN195" s="1">
        <v>2</v>
      </c>
      <c r="AO195" s="1">
        <f t="shared" si="129"/>
        <v>6</v>
      </c>
      <c r="AP195" s="1">
        <v>14</v>
      </c>
      <c r="AQ195" s="1">
        <f t="shared" si="145"/>
        <v>56</v>
      </c>
      <c r="AR195" s="1">
        <f t="shared" si="130"/>
        <v>167</v>
      </c>
      <c r="AS195" s="1">
        <f t="shared" si="142"/>
        <v>25</v>
      </c>
      <c r="AT195" s="1">
        <f t="shared" si="131"/>
        <v>7</v>
      </c>
      <c r="AU195" s="1">
        <f t="shared" si="146"/>
        <v>1</v>
      </c>
      <c r="AV195" s="1">
        <f t="shared" si="138"/>
        <v>0</v>
      </c>
      <c r="AW195" s="1">
        <f t="shared" si="139"/>
        <v>0</v>
      </c>
      <c r="AX195" s="1">
        <f t="shared" si="140"/>
        <v>0</v>
      </c>
      <c r="AY195" s="1">
        <f t="shared" si="132"/>
        <v>-21</v>
      </c>
      <c r="AZ195" s="1">
        <f t="shared" si="141"/>
        <v>0</v>
      </c>
      <c r="BA195" s="1">
        <f t="shared" si="133"/>
        <v>-84</v>
      </c>
      <c r="BB195" s="1">
        <f t="shared" si="137"/>
        <v>0</v>
      </c>
      <c r="BC195" s="1">
        <f t="shared" si="134"/>
        <v>-6</v>
      </c>
      <c r="BD195" s="1">
        <f t="shared" si="135"/>
        <v>0</v>
      </c>
      <c r="BE195" s="1" t="s">
        <v>65</v>
      </c>
      <c r="BF195" s="1">
        <f t="shared" si="144"/>
        <v>42</v>
      </c>
      <c r="BG195" s="1">
        <f t="shared" si="143"/>
        <v>42</v>
      </c>
      <c r="BH195" s="1">
        <f t="shared" si="136"/>
        <v>1</v>
      </c>
      <c r="BI195" s="1" t="e">
        <f>IF(BH195-#REF!=0,"DOĞRU","YANLIŞ")</f>
        <v>#REF!</v>
      </c>
      <c r="BJ195" s="1" t="e">
        <f>#REF!-BH195</f>
        <v>#REF!</v>
      </c>
      <c r="BK195" s="1">
        <v>0</v>
      </c>
      <c r="BM195" s="1">
        <v>0</v>
      </c>
      <c r="BO195" s="1">
        <v>3</v>
      </c>
      <c r="BT195" s="8">
        <f t="shared" si="118"/>
        <v>28</v>
      </c>
      <c r="BU195" s="9"/>
      <c r="BV195" s="10"/>
      <c r="BW195" s="11"/>
      <c r="BX195" s="11"/>
      <c r="BY195" s="11"/>
      <c r="BZ195" s="11"/>
      <c r="CA195" s="11"/>
      <c r="CB195" s="12"/>
      <c r="CC195" s="13"/>
      <c r="CD195" s="14"/>
      <c r="CL195" s="11"/>
      <c r="CM195" s="11"/>
      <c r="CN195" s="11"/>
      <c r="CO195" s="11"/>
      <c r="CP195" s="11"/>
      <c r="CQ195" s="54"/>
      <c r="CR195" s="46"/>
      <c r="CS195" s="48"/>
      <c r="CT195" s="48"/>
      <c r="CU195" s="48"/>
      <c r="CV195" s="48"/>
      <c r="CW195" s="49"/>
      <c r="CX195" s="49"/>
    </row>
    <row r="196" spans="1:102" hidden="1" x14ac:dyDescent="0.25">
      <c r="A196" s="7" t="s">
        <v>355</v>
      </c>
      <c r="B196" s="7" t="s">
        <v>356</v>
      </c>
      <c r="C196" s="1" t="s">
        <v>356</v>
      </c>
      <c r="D196" s="2" t="s">
        <v>58</v>
      </c>
      <c r="E196" s="2" t="s">
        <v>58</v>
      </c>
      <c r="F196" s="3" t="e">
        <f>IF(BE196="S",
IF(#REF!+BM196=2018,
IF(#REF!=1,"18-19/1",
IF(#REF!=2,"18-19/2",
IF(#REF!=3,"19-20/1",
IF(#REF!=4,"19-20/2",
IF(#REF!=5,"20-21/1",
IF(#REF!=6,"20-21/2",
IF(#REF!=7,"21-22/1",
IF(#REF!=8,"21-22/2","Hata1")))))))),
IF(#REF!+BM196=2019,
IF(#REF!=1,"19-20/1",
IF(#REF!=2,"19-20/2",
IF(#REF!=3,"20-21/1",
IF(#REF!=4,"20-21/2",
IF(#REF!=5,"21-22/1",
IF(#REF!=6,"21-22/2",
IF(#REF!=7,"22-23/1",
IF(#REF!=8,"22-23/2","Hata2")))))))),
IF(#REF!+BM196=2020,
IF(#REF!=1,"20-21/1",
IF(#REF!=2,"20-21/2",
IF(#REF!=3,"21-22/1",
IF(#REF!=4,"21-22/2",
IF(#REF!=5,"22-23/1",
IF(#REF!=6,"22-23/2",
IF(#REF!=7,"23-24/1",
IF(#REF!=8,"23-24/2","Hata3")))))))),
IF(#REF!+BM196=2021,
IF(#REF!=1,"21-22/1",
IF(#REF!=2,"21-22/2",
IF(#REF!=3,"22-23/1",
IF(#REF!=4,"22-23/2",
IF(#REF!=5,"23-24/1",
IF(#REF!=6,"23-24/2",
IF(#REF!=7,"24-25/1",
IF(#REF!=8,"24-25/2","Hata4")))))))),
IF(#REF!+BM196=2022,
IF(#REF!=1,"22-23/1",
IF(#REF!=2,"22-23/2",
IF(#REF!=3,"23-24/1",
IF(#REF!=4,"23-24/2",
IF(#REF!=5,"24-25/1",
IF(#REF!=6,"24-25/2",
IF(#REF!=7,"25-26/1",
IF(#REF!=8,"25-26/2","Hata5")))))))),
IF(#REF!+BM196=2023,
IF(#REF!=1,"23-24/1",
IF(#REF!=2,"23-24/2",
IF(#REF!=3,"24-25/1",
IF(#REF!=4,"24-25/2",
IF(#REF!=5,"25-26/1",
IF(#REF!=6,"25-26/2",
IF(#REF!=7,"26-27/1",
IF(#REF!=8,"26-27/2","Hata6")))))))),
)))))),
IF(BE196="T",
IF(#REF!+BM196=2018,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6" s="1" t="s">
        <v>141</v>
      </c>
      <c r="J196" s="1">
        <v>4234771</v>
      </c>
      <c r="N196" s="2">
        <v>4</v>
      </c>
      <c r="O196" s="6">
        <f t="shared" si="122"/>
        <v>3</v>
      </c>
      <c r="P196" s="2">
        <f t="shared" si="123"/>
        <v>3</v>
      </c>
      <c r="Q196" s="2">
        <v>3</v>
      </c>
      <c r="R196" s="2">
        <v>0</v>
      </c>
      <c r="S196" s="2">
        <v>0</v>
      </c>
      <c r="X196" s="3">
        <v>2</v>
      </c>
      <c r="Y196" s="1">
        <f>VLOOKUP($X196,[24]ölçme_sistemleri!I$1:L$65536,2,FALSE)</f>
        <v>0</v>
      </c>
      <c r="Z196" s="1">
        <f>VLOOKUP($X196,[24]ölçme_sistemleri!I$1:L$65536,3,FALSE)</f>
        <v>2</v>
      </c>
      <c r="AA196" s="1">
        <f>VLOOKUP($X196,[24]ölçme_sistemleri!I$1:L$65536,4,FALSE)</f>
        <v>1</v>
      </c>
      <c r="AB196" s="1">
        <f>$O196*[24]ölçme_sistemleri!J$13</f>
        <v>3</v>
      </c>
      <c r="AC196" s="1">
        <f>$O196*[24]ölçme_sistemleri!K$13</f>
        <v>6</v>
      </c>
      <c r="AD196" s="1">
        <f>$O196*[24]ölçme_sistemleri!L$13</f>
        <v>9</v>
      </c>
      <c r="AE196" s="1">
        <f t="shared" si="124"/>
        <v>0</v>
      </c>
      <c r="AF196" s="1">
        <f t="shared" si="125"/>
        <v>12</v>
      </c>
      <c r="AG196" s="1">
        <f t="shared" si="126"/>
        <v>9</v>
      </c>
      <c r="AH196" s="1">
        <f t="shared" si="127"/>
        <v>21</v>
      </c>
      <c r="AI196" s="1">
        <v>14</v>
      </c>
      <c r="AJ196" s="1">
        <f>VLOOKUP(X196,[24]ölçme_sistemleri!I$1:M$65536,5,FALSE)</f>
        <v>2</v>
      </c>
      <c r="AK196" s="1">
        <f t="shared" si="128"/>
        <v>294</v>
      </c>
      <c r="AL196" s="1">
        <f>(Q196+S196)*AI196</f>
        <v>42</v>
      </c>
      <c r="AM196" s="1">
        <f>VLOOKUP(X196,[24]ölçme_sistemleri!I$1:N$65536,6,FALSE)</f>
        <v>3</v>
      </c>
      <c r="AN196" s="1">
        <v>2</v>
      </c>
      <c r="AO196" s="1">
        <f t="shared" si="129"/>
        <v>6</v>
      </c>
      <c r="AP196" s="1">
        <v>14</v>
      </c>
      <c r="AQ196" s="1">
        <f t="shared" si="145"/>
        <v>42</v>
      </c>
      <c r="AR196" s="1">
        <f t="shared" si="130"/>
        <v>111</v>
      </c>
      <c r="AS196" s="1">
        <f t="shared" si="142"/>
        <v>25</v>
      </c>
      <c r="AT196" s="1">
        <f t="shared" si="131"/>
        <v>4</v>
      </c>
      <c r="AU196" s="1">
        <f t="shared" si="146"/>
        <v>0</v>
      </c>
      <c r="AV196" s="1">
        <f t="shared" si="138"/>
        <v>0</v>
      </c>
      <c r="AW196" s="1">
        <f t="shared" si="139"/>
        <v>0</v>
      </c>
      <c r="AX196" s="1">
        <f t="shared" si="140"/>
        <v>0</v>
      </c>
      <c r="AY196" s="1">
        <f t="shared" si="132"/>
        <v>-21</v>
      </c>
      <c r="AZ196" s="1">
        <f t="shared" si="141"/>
        <v>0</v>
      </c>
      <c r="BA196" s="1">
        <f t="shared" si="133"/>
        <v>-42</v>
      </c>
      <c r="BB196" s="1">
        <f t="shared" si="137"/>
        <v>0</v>
      </c>
      <c r="BC196" s="1">
        <f t="shared" si="134"/>
        <v>-6</v>
      </c>
      <c r="BD196" s="1">
        <f t="shared" si="135"/>
        <v>0</v>
      </c>
      <c r="BE196" s="1" t="s">
        <v>65</v>
      </c>
      <c r="BF196" s="1">
        <f t="shared" si="144"/>
        <v>42</v>
      </c>
      <c r="BG196" s="1">
        <f t="shared" si="143"/>
        <v>42</v>
      </c>
      <c r="BH196" s="1">
        <f t="shared" si="136"/>
        <v>1</v>
      </c>
      <c r="BI196" s="1" t="e">
        <f>IF(BH196-#REF!=0,"DOĞRU","YANLIŞ")</f>
        <v>#REF!</v>
      </c>
      <c r="BJ196" s="1" t="e">
        <f>#REF!-BH196</f>
        <v>#REF!</v>
      </c>
      <c r="BK196" s="1">
        <v>0</v>
      </c>
      <c r="BM196" s="1">
        <v>0</v>
      </c>
      <c r="BO196" s="1">
        <v>3</v>
      </c>
      <c r="BT196" s="8">
        <f t="shared" si="118"/>
        <v>0</v>
      </c>
      <c r="BU196" s="9"/>
      <c r="BV196" s="10"/>
      <c r="BW196" s="11"/>
      <c r="BX196" s="11"/>
      <c r="BY196" s="11"/>
      <c r="BZ196" s="11"/>
      <c r="CA196" s="11"/>
      <c r="CB196" s="12"/>
      <c r="CC196" s="13"/>
      <c r="CD196" s="14"/>
      <c r="CL196" s="11"/>
      <c r="CM196" s="11"/>
      <c r="CN196" s="11"/>
      <c r="CO196" s="11"/>
      <c r="CP196" s="11"/>
      <c r="CQ196" s="54"/>
      <c r="CR196" s="46"/>
      <c r="CS196" s="54"/>
      <c r="CT196" s="48"/>
      <c r="CU196" s="48"/>
      <c r="CV196" s="48"/>
      <c r="CW196" s="49"/>
      <c r="CX196" s="49"/>
    </row>
    <row r="197" spans="1:102" hidden="1" x14ac:dyDescent="0.25">
      <c r="A197" s="7" t="s">
        <v>240</v>
      </c>
      <c r="B197" s="7" t="s">
        <v>241</v>
      </c>
      <c r="C197" s="1" t="s">
        <v>241</v>
      </c>
      <c r="D197" s="2" t="s">
        <v>58</v>
      </c>
      <c r="E197" s="2" t="s">
        <v>58</v>
      </c>
      <c r="F197" s="3" t="e">
        <f>IF(BE197="S",
IF(#REF!+BM197=2018,
IF(#REF!=1,"18-19/1",
IF(#REF!=2,"18-19/2",
IF(#REF!=3,"19-20/1",
IF(#REF!=4,"19-20/2",
IF(#REF!=5,"20-21/1",
IF(#REF!=6,"20-21/2",
IF(#REF!=7,"21-22/1",
IF(#REF!=8,"21-22/2","Hata1")))))))),
IF(#REF!+BM197=2019,
IF(#REF!=1,"19-20/1",
IF(#REF!=2,"19-20/2",
IF(#REF!=3,"20-21/1",
IF(#REF!=4,"20-21/2",
IF(#REF!=5,"21-22/1",
IF(#REF!=6,"21-22/2",
IF(#REF!=7,"22-23/1",
IF(#REF!=8,"22-23/2","Hata2")))))))),
IF(#REF!+BM197=2020,
IF(#REF!=1,"20-21/1",
IF(#REF!=2,"20-21/2",
IF(#REF!=3,"21-22/1",
IF(#REF!=4,"21-22/2",
IF(#REF!=5,"22-23/1",
IF(#REF!=6,"22-23/2",
IF(#REF!=7,"23-24/1",
IF(#REF!=8,"23-24/2","Hata3")))))))),
IF(#REF!+BM197=2021,
IF(#REF!=1,"21-22/1",
IF(#REF!=2,"21-22/2",
IF(#REF!=3,"22-23/1",
IF(#REF!=4,"22-23/2",
IF(#REF!=5,"23-24/1",
IF(#REF!=6,"23-24/2",
IF(#REF!=7,"24-25/1",
IF(#REF!=8,"24-25/2","Hata4")))))))),
IF(#REF!+BM197=2022,
IF(#REF!=1,"22-23/1",
IF(#REF!=2,"22-23/2",
IF(#REF!=3,"23-24/1",
IF(#REF!=4,"23-24/2",
IF(#REF!=5,"24-25/1",
IF(#REF!=6,"24-25/2",
IF(#REF!=7,"25-26/1",
IF(#REF!=8,"25-26/2","Hata5")))))))),
IF(#REF!+BM197=2023,
IF(#REF!=1,"23-24/1",
IF(#REF!=2,"23-24/2",
IF(#REF!=3,"24-25/1",
IF(#REF!=4,"24-25/2",
IF(#REF!=5,"25-26/1",
IF(#REF!=6,"25-26/2",
IF(#REF!=7,"26-27/1",
IF(#REF!=8,"26-27/2","Hata6")))))))),
)))))),
IF(BE197="T",
IF(#REF!+BM197=2018,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7" s="1" t="s">
        <v>141</v>
      </c>
      <c r="J197" s="1">
        <v>4234771</v>
      </c>
      <c r="N197" s="2">
        <v>4</v>
      </c>
      <c r="O197" s="6">
        <f t="shared" si="122"/>
        <v>3</v>
      </c>
      <c r="P197" s="2">
        <f t="shared" si="123"/>
        <v>3</v>
      </c>
      <c r="Q197" s="2">
        <v>0</v>
      </c>
      <c r="R197" s="2">
        <v>0</v>
      </c>
      <c r="S197" s="2">
        <v>3</v>
      </c>
      <c r="X197" s="3">
        <v>2</v>
      </c>
      <c r="Y197" s="1">
        <f>VLOOKUP($X197,[24]ölçme_sistemleri!I$1:L$65536,2,FALSE)</f>
        <v>0</v>
      </c>
      <c r="Z197" s="1">
        <f>VLOOKUP($X197,[24]ölçme_sistemleri!I$1:L$65536,3,FALSE)</f>
        <v>2</v>
      </c>
      <c r="AA197" s="1">
        <f>VLOOKUP($X197,[24]ölçme_sistemleri!I$1:L$65536,4,FALSE)</f>
        <v>1</v>
      </c>
      <c r="AB197" s="1">
        <f>$O197*[24]ölçme_sistemleri!J$13</f>
        <v>3</v>
      </c>
      <c r="AC197" s="1">
        <f>$O197*[24]ölçme_sistemleri!K$13</f>
        <v>6</v>
      </c>
      <c r="AD197" s="1">
        <f>$O197*[24]ölçme_sistemleri!L$13</f>
        <v>9</v>
      </c>
      <c r="AE197" s="1">
        <f t="shared" si="124"/>
        <v>0</v>
      </c>
      <c r="AF197" s="1">
        <f t="shared" si="125"/>
        <v>12</v>
      </c>
      <c r="AG197" s="1">
        <f t="shared" si="126"/>
        <v>9</v>
      </c>
      <c r="AH197" s="1">
        <f t="shared" si="127"/>
        <v>21</v>
      </c>
      <c r="AI197" s="1">
        <v>14</v>
      </c>
      <c r="AJ197" s="1">
        <f>VLOOKUP(X197,[24]ölçme_sistemleri!I$1:M$65536,5,FALSE)</f>
        <v>2</v>
      </c>
      <c r="AK197" s="1">
        <f t="shared" si="128"/>
        <v>294</v>
      </c>
      <c r="AL197" s="1">
        <f>(Q197+S197)*AI197</f>
        <v>42</v>
      </c>
      <c r="AM197" s="1">
        <f>VLOOKUP(X197,[24]ölçme_sistemleri!I$1:N$65536,6,FALSE)</f>
        <v>3</v>
      </c>
      <c r="AN197" s="1">
        <v>2</v>
      </c>
      <c r="AO197" s="1">
        <f t="shared" si="129"/>
        <v>6</v>
      </c>
      <c r="AP197" s="1">
        <v>14</v>
      </c>
      <c r="AQ197" s="1">
        <f t="shared" si="145"/>
        <v>42</v>
      </c>
      <c r="AR197" s="1">
        <f t="shared" si="130"/>
        <v>111</v>
      </c>
      <c r="AS197" s="1">
        <f t="shared" si="142"/>
        <v>25</v>
      </c>
      <c r="AT197" s="1">
        <f t="shared" si="131"/>
        <v>4</v>
      </c>
      <c r="AU197" s="1">
        <f t="shared" si="146"/>
        <v>0</v>
      </c>
      <c r="AV197" s="1">
        <f t="shared" si="138"/>
        <v>0</v>
      </c>
      <c r="AW197" s="1">
        <f t="shared" si="139"/>
        <v>0</v>
      </c>
      <c r="AX197" s="1">
        <f t="shared" si="140"/>
        <v>0</v>
      </c>
      <c r="AY197" s="1">
        <f t="shared" si="132"/>
        <v>-21</v>
      </c>
      <c r="AZ197" s="1">
        <f t="shared" si="141"/>
        <v>0</v>
      </c>
      <c r="BA197" s="1">
        <f t="shared" si="133"/>
        <v>-42</v>
      </c>
      <c r="BB197" s="1">
        <f t="shared" si="137"/>
        <v>0</v>
      </c>
      <c r="BC197" s="1">
        <f t="shared" si="134"/>
        <v>-6</v>
      </c>
      <c r="BD197" s="1">
        <f t="shared" si="135"/>
        <v>0</v>
      </c>
      <c r="BE197" s="1" t="s">
        <v>65</v>
      </c>
      <c r="BF197" s="1">
        <f t="shared" si="144"/>
        <v>42</v>
      </c>
      <c r="BG197" s="1">
        <f t="shared" si="143"/>
        <v>42</v>
      </c>
      <c r="BH197" s="1">
        <f t="shared" si="136"/>
        <v>1</v>
      </c>
      <c r="BI197" s="1" t="e">
        <f>IF(BH197-#REF!=0,"DOĞRU","YANLIŞ")</f>
        <v>#REF!</v>
      </c>
      <c r="BJ197" s="1" t="e">
        <f>#REF!-BH197</f>
        <v>#REF!</v>
      </c>
      <c r="BK197" s="1">
        <v>0</v>
      </c>
      <c r="BM197" s="1">
        <v>0</v>
      </c>
      <c r="BO197" s="1">
        <v>3</v>
      </c>
      <c r="BT197" s="8">
        <f t="shared" si="118"/>
        <v>0</v>
      </c>
      <c r="BU197" s="9"/>
      <c r="BV197" s="10"/>
      <c r="BW197" s="11"/>
      <c r="BX197" s="11"/>
      <c r="BY197" s="11"/>
      <c r="BZ197" s="11"/>
      <c r="CA197" s="11"/>
      <c r="CB197" s="12"/>
      <c r="CC197" s="13"/>
      <c r="CD197" s="14"/>
      <c r="CL197" s="11"/>
      <c r="CM197" s="11"/>
      <c r="CN197" s="11"/>
      <c r="CO197" s="11"/>
      <c r="CP197" s="11"/>
      <c r="CQ197" s="46"/>
      <c r="CR197" s="46"/>
      <c r="CS197" s="48"/>
      <c r="CT197" s="48"/>
      <c r="CU197" s="48"/>
      <c r="CV197" s="48"/>
      <c r="CW197" s="49"/>
      <c r="CX197" s="49"/>
    </row>
    <row r="198" spans="1:102" hidden="1" x14ac:dyDescent="0.25">
      <c r="A198" s="7" t="s">
        <v>226</v>
      </c>
      <c r="B198" s="7" t="s">
        <v>227</v>
      </c>
      <c r="C198" s="1" t="s">
        <v>227</v>
      </c>
      <c r="D198" s="2" t="s">
        <v>63</v>
      </c>
      <c r="E198" s="2" t="s">
        <v>63</v>
      </c>
      <c r="F198" s="3" t="e">
        <f>IF(BE198="S",
IF(#REF!+BM198=2018,
IF(#REF!=1,"18-19/1",
IF(#REF!=2,"18-19/2",
IF(#REF!=3,"19-20/1",
IF(#REF!=4,"19-20/2",
IF(#REF!=5,"20-21/1",
IF(#REF!=6,"20-21/2",
IF(#REF!=7,"21-22/1",
IF(#REF!=8,"21-22/2","Hata1")))))))),
IF(#REF!+BM198=2019,
IF(#REF!=1,"19-20/1",
IF(#REF!=2,"19-20/2",
IF(#REF!=3,"20-21/1",
IF(#REF!=4,"20-21/2",
IF(#REF!=5,"21-22/1",
IF(#REF!=6,"21-22/2",
IF(#REF!=7,"22-23/1",
IF(#REF!=8,"22-23/2","Hata2")))))))),
IF(#REF!+BM198=2020,
IF(#REF!=1,"20-21/1",
IF(#REF!=2,"20-21/2",
IF(#REF!=3,"21-22/1",
IF(#REF!=4,"21-22/2",
IF(#REF!=5,"22-23/1",
IF(#REF!=6,"22-23/2",
IF(#REF!=7,"23-24/1",
IF(#REF!=8,"23-24/2","Hata3")))))))),
IF(#REF!+BM198=2021,
IF(#REF!=1,"21-22/1",
IF(#REF!=2,"21-22/2",
IF(#REF!=3,"22-23/1",
IF(#REF!=4,"22-23/2",
IF(#REF!=5,"23-24/1",
IF(#REF!=6,"23-24/2",
IF(#REF!=7,"24-25/1",
IF(#REF!=8,"24-25/2","Hata4")))))))),
IF(#REF!+BM198=2022,
IF(#REF!=1,"22-23/1",
IF(#REF!=2,"22-23/2",
IF(#REF!=3,"23-24/1",
IF(#REF!=4,"23-24/2",
IF(#REF!=5,"24-25/1",
IF(#REF!=6,"24-25/2",
IF(#REF!=7,"25-26/1",
IF(#REF!=8,"25-26/2","Hata5")))))))),
IF(#REF!+BM198=2023,
IF(#REF!=1,"23-24/1",
IF(#REF!=2,"23-24/2",
IF(#REF!=3,"24-25/1",
IF(#REF!=4,"24-25/2",
IF(#REF!=5,"25-26/1",
IF(#REF!=6,"25-26/2",
IF(#REF!=7,"26-27/1",
IF(#REF!=8,"26-27/2","Hata6")))))))),
)))))),
IF(BE198="T",
IF(#REF!+BM198=2018,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8" s="1" t="s">
        <v>141</v>
      </c>
      <c r="J198" s="1">
        <v>4234771</v>
      </c>
      <c r="L198" s="2">
        <v>3520</v>
      </c>
      <c r="N198" s="2">
        <v>8</v>
      </c>
      <c r="O198" s="6">
        <f t="shared" si="122"/>
        <v>4</v>
      </c>
      <c r="P198" s="2">
        <f t="shared" si="123"/>
        <v>4</v>
      </c>
      <c r="Q198" s="2">
        <v>4</v>
      </c>
      <c r="R198" s="2">
        <v>0</v>
      </c>
      <c r="S198" s="2">
        <v>0</v>
      </c>
      <c r="X198" s="3">
        <v>2</v>
      </c>
      <c r="Y198" s="1">
        <f>VLOOKUP($X198,[24]ölçme_sistemleri!I$1:L$65536,2,FALSE)</f>
        <v>0</v>
      </c>
      <c r="Z198" s="1">
        <f>VLOOKUP($X198,[24]ölçme_sistemleri!I$1:L$65536,3,FALSE)</f>
        <v>2</v>
      </c>
      <c r="AA198" s="1">
        <f>VLOOKUP($X198,[24]ölçme_sistemleri!I$1:L$65536,4,FALSE)</f>
        <v>1</v>
      </c>
      <c r="AB198" s="1">
        <f>$O198*[24]ölçme_sistemleri!J$13</f>
        <v>4</v>
      </c>
      <c r="AC198" s="1">
        <f>$O198*[24]ölçme_sistemleri!K$13</f>
        <v>8</v>
      </c>
      <c r="AD198" s="1">
        <f>$O198*[24]ölçme_sistemleri!L$13</f>
        <v>12</v>
      </c>
      <c r="AE198" s="1">
        <f t="shared" si="124"/>
        <v>0</v>
      </c>
      <c r="AF198" s="1">
        <f t="shared" si="125"/>
        <v>16</v>
      </c>
      <c r="AG198" s="1">
        <f t="shared" si="126"/>
        <v>12</v>
      </c>
      <c r="AH198" s="1">
        <f t="shared" si="127"/>
        <v>28</v>
      </c>
      <c r="AI198" s="1">
        <v>14</v>
      </c>
      <c r="AJ198" s="1">
        <f>VLOOKUP(X198,[24]ölçme_sistemleri!I$1:M$65536,5,FALSE)</f>
        <v>2</v>
      </c>
      <c r="AK198" s="1">
        <f t="shared" si="128"/>
        <v>392</v>
      </c>
      <c r="AL198" s="1">
        <f>AI198*7</f>
        <v>98</v>
      </c>
      <c r="AM198" s="1">
        <f>VLOOKUP(X198,[24]ölçme_sistemleri!I$1:N$65536,6,FALSE)</f>
        <v>3</v>
      </c>
      <c r="AN198" s="1">
        <v>2</v>
      </c>
      <c r="AO198" s="1">
        <f t="shared" si="129"/>
        <v>6</v>
      </c>
      <c r="AP198" s="1">
        <v>14</v>
      </c>
      <c r="AQ198" s="1">
        <f t="shared" si="145"/>
        <v>56</v>
      </c>
      <c r="AR198" s="1">
        <f t="shared" si="130"/>
        <v>188</v>
      </c>
      <c r="AS198" s="1">
        <f t="shared" si="142"/>
        <v>25</v>
      </c>
      <c r="AT198" s="1">
        <f t="shared" si="131"/>
        <v>8</v>
      </c>
      <c r="AU198" s="1">
        <f t="shared" si="146"/>
        <v>0</v>
      </c>
      <c r="AV198" s="1">
        <f t="shared" si="138"/>
        <v>0</v>
      </c>
      <c r="AW198" s="1">
        <f t="shared" si="139"/>
        <v>0</v>
      </c>
      <c r="AX198" s="1">
        <f t="shared" si="140"/>
        <v>0</v>
      </c>
      <c r="AY198" s="1">
        <f t="shared" si="132"/>
        <v>-28</v>
      </c>
      <c r="AZ198" s="1">
        <f t="shared" si="141"/>
        <v>0</v>
      </c>
      <c r="BA198" s="1">
        <f t="shared" si="133"/>
        <v>-98</v>
      </c>
      <c r="BB198" s="1">
        <f t="shared" si="137"/>
        <v>0</v>
      </c>
      <c r="BC198" s="1">
        <f t="shared" si="134"/>
        <v>-6</v>
      </c>
      <c r="BD198" s="1">
        <f t="shared" si="135"/>
        <v>0</v>
      </c>
      <c r="BE198" s="1" t="s">
        <v>65</v>
      </c>
      <c r="BF198" s="1">
        <f t="shared" si="144"/>
        <v>56</v>
      </c>
      <c r="BG198" s="1">
        <f t="shared" si="143"/>
        <v>56</v>
      </c>
      <c r="BH198" s="1">
        <f t="shared" si="136"/>
        <v>2</v>
      </c>
      <c r="BI198" s="1" t="e">
        <f>IF(BH198-#REF!=0,"DOĞRU","YANLIŞ")</f>
        <v>#REF!</v>
      </c>
      <c r="BJ198" s="1" t="e">
        <f>#REF!-BH198</f>
        <v>#REF!</v>
      </c>
      <c r="BK198" s="1">
        <v>0</v>
      </c>
      <c r="BM198" s="1">
        <v>0</v>
      </c>
      <c r="BO198" s="1">
        <v>2</v>
      </c>
      <c r="BT198" s="8">
        <f t="shared" si="118"/>
        <v>0</v>
      </c>
      <c r="BU198" s="9"/>
      <c r="BV198" s="10"/>
      <c r="BW198" s="11"/>
      <c r="BX198" s="11"/>
      <c r="BY198" s="11"/>
      <c r="BZ198" s="11"/>
      <c r="CA198" s="11"/>
      <c r="CB198" s="12"/>
      <c r="CC198" s="13"/>
      <c r="CD198" s="14"/>
      <c r="CL198" s="11"/>
      <c r="CM198" s="11"/>
      <c r="CN198" s="11"/>
      <c r="CO198" s="11"/>
      <c r="CP198" s="11"/>
      <c r="CQ198" s="49"/>
      <c r="CR198" s="46"/>
      <c r="CS198" s="48"/>
      <c r="CT198" s="48"/>
      <c r="CU198" s="48"/>
      <c r="CV198" s="48"/>
      <c r="CW198" s="49"/>
      <c r="CX198" s="49"/>
    </row>
    <row r="199" spans="1:102" hidden="1" x14ac:dyDescent="0.25">
      <c r="A199" s="7" t="s">
        <v>224</v>
      </c>
      <c r="B199" s="7" t="s">
        <v>225</v>
      </c>
      <c r="C199" s="1" t="s">
        <v>225</v>
      </c>
      <c r="D199" s="2" t="s">
        <v>63</v>
      </c>
      <c r="E199" s="2" t="s">
        <v>63</v>
      </c>
      <c r="F199" s="3" t="e">
        <f>IF(BE199="S",
IF(#REF!+BM199=2018,
IF(#REF!=1,"18-19/1",
IF(#REF!=2,"18-19/2",
IF(#REF!=3,"19-20/1",
IF(#REF!=4,"19-20/2",
IF(#REF!=5,"20-21/1",
IF(#REF!=6,"20-21/2",
IF(#REF!=7,"21-22/1",
IF(#REF!=8,"21-22/2","Hata1")))))))),
IF(#REF!+BM199=2019,
IF(#REF!=1,"19-20/1",
IF(#REF!=2,"19-20/2",
IF(#REF!=3,"20-21/1",
IF(#REF!=4,"20-21/2",
IF(#REF!=5,"21-22/1",
IF(#REF!=6,"21-22/2",
IF(#REF!=7,"22-23/1",
IF(#REF!=8,"22-23/2","Hata2")))))))),
IF(#REF!+BM199=2020,
IF(#REF!=1,"20-21/1",
IF(#REF!=2,"20-21/2",
IF(#REF!=3,"21-22/1",
IF(#REF!=4,"21-22/2",
IF(#REF!=5,"22-23/1",
IF(#REF!=6,"22-23/2",
IF(#REF!=7,"23-24/1",
IF(#REF!=8,"23-24/2","Hata3")))))))),
IF(#REF!+BM199=2021,
IF(#REF!=1,"21-22/1",
IF(#REF!=2,"21-22/2",
IF(#REF!=3,"22-23/1",
IF(#REF!=4,"22-23/2",
IF(#REF!=5,"23-24/1",
IF(#REF!=6,"23-24/2",
IF(#REF!=7,"24-25/1",
IF(#REF!=8,"24-25/2","Hata4")))))))),
IF(#REF!+BM199=2022,
IF(#REF!=1,"22-23/1",
IF(#REF!=2,"22-23/2",
IF(#REF!=3,"23-24/1",
IF(#REF!=4,"23-24/2",
IF(#REF!=5,"24-25/1",
IF(#REF!=6,"24-25/2",
IF(#REF!=7,"25-26/1",
IF(#REF!=8,"25-26/2","Hata5")))))))),
IF(#REF!+BM199=2023,
IF(#REF!=1,"23-24/1",
IF(#REF!=2,"23-24/2",
IF(#REF!=3,"24-25/1",
IF(#REF!=4,"24-25/2",
IF(#REF!=5,"25-26/1",
IF(#REF!=6,"25-26/2",
IF(#REF!=7,"26-27/1",
IF(#REF!=8,"26-27/2","Hata6")))))))),
)))))),
IF(BE199="T",
IF(#REF!+BM199=2018,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IF(#REF!+BM199=2019,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IF(#REF!+BM199=2020,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IF(#REF!+BM199=2021,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IF(#REF!+BM199=2022,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IF(#REF!+BM199=2023,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199" s="1" t="s">
        <v>141</v>
      </c>
      <c r="J199" s="1">
        <v>4234771</v>
      </c>
      <c r="L199" s="2">
        <v>2134</v>
      </c>
      <c r="N199" s="2">
        <v>7</v>
      </c>
      <c r="O199" s="6">
        <f t="shared" si="122"/>
        <v>3</v>
      </c>
      <c r="P199" s="2">
        <f t="shared" si="123"/>
        <v>3</v>
      </c>
      <c r="Q199" s="2">
        <v>3</v>
      </c>
      <c r="R199" s="2">
        <v>0</v>
      </c>
      <c r="S199" s="2">
        <v>0</v>
      </c>
      <c r="X199" s="3">
        <v>2</v>
      </c>
      <c r="Y199" s="1">
        <f>VLOOKUP($X199,[25]ölçme_sistemleri!I$1:L$65536,2,FALSE)</f>
        <v>0</v>
      </c>
      <c r="Z199" s="1">
        <f>VLOOKUP($X199,[25]ölçme_sistemleri!I$1:L$65536,3,FALSE)</f>
        <v>2</v>
      </c>
      <c r="AA199" s="1">
        <f>VLOOKUP($X199,[25]ölçme_sistemleri!I$1:L$65536,4,FALSE)</f>
        <v>1</v>
      </c>
      <c r="AB199" s="1">
        <f>$O199*[25]ölçme_sistemleri!J$13</f>
        <v>3</v>
      </c>
      <c r="AC199" s="1">
        <f>$O199*[25]ölçme_sistemleri!K$13</f>
        <v>6</v>
      </c>
      <c r="AD199" s="1">
        <f>$O199*[25]ölçme_sistemleri!L$13</f>
        <v>9</v>
      </c>
      <c r="AE199" s="1">
        <f t="shared" si="124"/>
        <v>0</v>
      </c>
      <c r="AF199" s="1">
        <f t="shared" si="125"/>
        <v>12</v>
      </c>
      <c r="AG199" s="1">
        <f t="shared" si="126"/>
        <v>9</v>
      </c>
      <c r="AH199" s="1">
        <f t="shared" si="127"/>
        <v>21</v>
      </c>
      <c r="AI199" s="1">
        <v>14</v>
      </c>
      <c r="AJ199" s="1">
        <f>VLOOKUP(X199,[25]ölçme_sistemleri!I$1:M$65536,5,FALSE)</f>
        <v>2</v>
      </c>
      <c r="AK199" s="1">
        <f t="shared" si="128"/>
        <v>294</v>
      </c>
      <c r="AL199" s="1">
        <f>AI199*7</f>
        <v>98</v>
      </c>
      <c r="AM199" s="1">
        <f>VLOOKUP(X199,[25]ölçme_sistemleri!I$1:N$65536,6,FALSE)</f>
        <v>3</v>
      </c>
      <c r="AN199" s="1">
        <v>2</v>
      </c>
      <c r="AO199" s="1">
        <f t="shared" si="129"/>
        <v>6</v>
      </c>
      <c r="AP199" s="1">
        <v>14</v>
      </c>
      <c r="AQ199" s="1">
        <f t="shared" si="145"/>
        <v>42</v>
      </c>
      <c r="AR199" s="1">
        <f t="shared" si="130"/>
        <v>167</v>
      </c>
      <c r="AS199" s="1">
        <f t="shared" si="142"/>
        <v>25</v>
      </c>
      <c r="AT199" s="1">
        <f t="shared" si="131"/>
        <v>7</v>
      </c>
      <c r="AU199" s="1">
        <f t="shared" si="146"/>
        <v>0</v>
      </c>
      <c r="AV199" s="1">
        <f t="shared" si="138"/>
        <v>0</v>
      </c>
      <c r="AW199" s="1">
        <f t="shared" si="139"/>
        <v>0</v>
      </c>
      <c r="AX199" s="1">
        <f t="shared" si="140"/>
        <v>0</v>
      </c>
      <c r="AY199" s="1">
        <f t="shared" si="132"/>
        <v>-21</v>
      </c>
      <c r="AZ199" s="1">
        <f t="shared" si="141"/>
        <v>0</v>
      </c>
      <c r="BA199" s="1">
        <f t="shared" si="133"/>
        <v>-98</v>
      </c>
      <c r="BB199" s="1">
        <f t="shared" si="137"/>
        <v>0</v>
      </c>
      <c r="BC199" s="1">
        <f t="shared" si="134"/>
        <v>-6</v>
      </c>
      <c r="BD199" s="1">
        <f t="shared" si="135"/>
        <v>0</v>
      </c>
      <c r="BE199" s="1" t="s">
        <v>65</v>
      </c>
      <c r="BF199" s="1">
        <f t="shared" si="144"/>
        <v>42</v>
      </c>
      <c r="BG199" s="1">
        <f t="shared" si="143"/>
        <v>42</v>
      </c>
      <c r="BH199" s="1">
        <f t="shared" si="136"/>
        <v>1</v>
      </c>
      <c r="BI199" s="1" t="e">
        <f>IF(BH199-#REF!=0,"DOĞRU","YANLIŞ")</f>
        <v>#REF!</v>
      </c>
      <c r="BJ199" s="1" t="e">
        <f>#REF!-BH199</f>
        <v>#REF!</v>
      </c>
      <c r="BK199" s="1">
        <v>0</v>
      </c>
      <c r="BM199" s="1">
        <v>0</v>
      </c>
      <c r="BO199" s="1">
        <v>3</v>
      </c>
      <c r="BT199" s="8">
        <f t="shared" ref="BT199:BT210" si="147">R199*14</f>
        <v>0</v>
      </c>
      <c r="BU199" s="9"/>
      <c r="BV199" s="10"/>
      <c r="BW199" s="11"/>
      <c r="BX199" s="11"/>
      <c r="BY199" s="11"/>
      <c r="BZ199" s="11"/>
      <c r="CA199" s="11"/>
      <c r="CB199" s="12"/>
      <c r="CC199" s="13"/>
      <c r="CD199" s="14"/>
      <c r="CL199" s="11"/>
      <c r="CM199" s="11"/>
      <c r="CN199" s="11"/>
      <c r="CO199" s="11"/>
      <c r="CP199" s="11"/>
      <c r="CQ199" s="46"/>
      <c r="CR199" s="46"/>
      <c r="CS199" s="48"/>
      <c r="CT199" s="48"/>
      <c r="CU199" s="48"/>
      <c r="CV199" s="48"/>
      <c r="CW199" s="49"/>
      <c r="CX199" s="49"/>
    </row>
    <row r="200" spans="1:102" hidden="1" x14ac:dyDescent="0.25">
      <c r="A200" s="7" t="s">
        <v>242</v>
      </c>
      <c r="B200" s="7" t="s">
        <v>243</v>
      </c>
      <c r="C200" s="1" t="s">
        <v>243</v>
      </c>
      <c r="D200" s="2" t="s">
        <v>63</v>
      </c>
      <c r="E200" s="2" t="s">
        <v>63</v>
      </c>
      <c r="F200" s="3" t="e">
        <f>IF(BE200="S",
IF(#REF!+BM200=2018,
IF(#REF!=1,"18-19/1",
IF(#REF!=2,"18-19/2",
IF(#REF!=3,"19-20/1",
IF(#REF!=4,"19-20/2",
IF(#REF!=5,"20-21/1",
IF(#REF!=6,"20-21/2",
IF(#REF!=7,"21-22/1",
IF(#REF!=8,"21-22/2","Hata1")))))))),
IF(#REF!+BM200=2019,
IF(#REF!=1,"19-20/1",
IF(#REF!=2,"19-20/2",
IF(#REF!=3,"20-21/1",
IF(#REF!=4,"20-21/2",
IF(#REF!=5,"21-22/1",
IF(#REF!=6,"21-22/2",
IF(#REF!=7,"22-23/1",
IF(#REF!=8,"22-23/2","Hata2")))))))),
IF(#REF!+BM200=2020,
IF(#REF!=1,"20-21/1",
IF(#REF!=2,"20-21/2",
IF(#REF!=3,"21-22/1",
IF(#REF!=4,"21-22/2",
IF(#REF!=5,"22-23/1",
IF(#REF!=6,"22-23/2",
IF(#REF!=7,"23-24/1",
IF(#REF!=8,"23-24/2","Hata3")))))))),
IF(#REF!+BM200=2021,
IF(#REF!=1,"21-22/1",
IF(#REF!=2,"21-22/2",
IF(#REF!=3,"22-23/1",
IF(#REF!=4,"22-23/2",
IF(#REF!=5,"23-24/1",
IF(#REF!=6,"23-24/2",
IF(#REF!=7,"24-25/1",
IF(#REF!=8,"24-25/2","Hata4")))))))),
IF(#REF!+BM200=2022,
IF(#REF!=1,"22-23/1",
IF(#REF!=2,"22-23/2",
IF(#REF!=3,"23-24/1",
IF(#REF!=4,"23-24/2",
IF(#REF!=5,"24-25/1",
IF(#REF!=6,"24-25/2",
IF(#REF!=7,"25-26/1",
IF(#REF!=8,"25-26/2","Hata5")))))))),
IF(#REF!+BM200=2023,
IF(#REF!=1,"23-24/1",
IF(#REF!=2,"23-24/2",
IF(#REF!=3,"24-25/1",
IF(#REF!=4,"24-25/2",
IF(#REF!=5,"25-26/1",
IF(#REF!=6,"25-26/2",
IF(#REF!=7,"26-27/1",
IF(#REF!=8,"26-27/2","Hata6")))))))),
)))))),
IF(BE200="T",
IF(#REF!+BM200=2018,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0" s="1" t="s">
        <v>141</v>
      </c>
      <c r="J200" s="1">
        <v>4234771</v>
      </c>
      <c r="L200" s="2">
        <v>3646</v>
      </c>
      <c r="N200" s="2">
        <v>4</v>
      </c>
      <c r="O200" s="6">
        <f t="shared" si="122"/>
        <v>3.5</v>
      </c>
      <c r="P200" s="2">
        <f t="shared" si="123"/>
        <v>4</v>
      </c>
      <c r="Q200" s="2">
        <v>3</v>
      </c>
      <c r="R200" s="15">
        <v>1</v>
      </c>
      <c r="S200" s="2">
        <v>0</v>
      </c>
      <c r="X200" s="3">
        <v>2</v>
      </c>
      <c r="Y200" s="1">
        <f>VLOOKUP($X200,[24]ölçme_sistemleri!I$1:L$65536,2,FALSE)</f>
        <v>0</v>
      </c>
      <c r="Z200" s="1">
        <f>VLOOKUP($X200,[24]ölçme_sistemleri!I$1:L$65536,3,FALSE)</f>
        <v>2</v>
      </c>
      <c r="AA200" s="1">
        <f>VLOOKUP($X200,[24]ölçme_sistemleri!I$1:L$65536,4,FALSE)</f>
        <v>1</v>
      </c>
      <c r="AB200" s="1">
        <f>$O200*[24]ölçme_sistemleri!J$13</f>
        <v>3.5</v>
      </c>
      <c r="AC200" s="1">
        <f>$O200*[24]ölçme_sistemleri!K$13</f>
        <v>7</v>
      </c>
      <c r="AD200" s="1">
        <f>$O200*[24]ölçme_sistemleri!L$13</f>
        <v>10.5</v>
      </c>
      <c r="AE200" s="1">
        <f t="shared" si="124"/>
        <v>0</v>
      </c>
      <c r="AF200" s="1">
        <f t="shared" si="125"/>
        <v>14</v>
      </c>
      <c r="AG200" s="1">
        <f t="shared" si="126"/>
        <v>10.5</v>
      </c>
      <c r="AH200" s="1">
        <f t="shared" si="127"/>
        <v>24.5</v>
      </c>
      <c r="AI200" s="1">
        <v>14</v>
      </c>
      <c r="AJ200" s="1">
        <f>VLOOKUP(X200,[24]ölçme_sistemleri!I$1:M$65536,5,FALSE)</f>
        <v>2</v>
      </c>
      <c r="AK200" s="1">
        <f t="shared" si="128"/>
        <v>343</v>
      </c>
      <c r="AL200" s="36">
        <f>AI200*1</f>
        <v>14</v>
      </c>
      <c r="AM200" s="1">
        <f>VLOOKUP(X200,[24]ölçme_sistemleri!I$1:N$65536,6,FALSE)</f>
        <v>3</v>
      </c>
      <c r="AN200" s="1">
        <v>2</v>
      </c>
      <c r="AO200" s="1">
        <f t="shared" si="129"/>
        <v>6</v>
      </c>
      <c r="AP200" s="1">
        <v>14</v>
      </c>
      <c r="AQ200" s="1">
        <f t="shared" si="145"/>
        <v>56</v>
      </c>
      <c r="AR200" s="1">
        <f t="shared" si="130"/>
        <v>100.5</v>
      </c>
      <c r="AS200" s="1">
        <f t="shared" si="142"/>
        <v>25</v>
      </c>
      <c r="AT200" s="1">
        <f t="shared" si="131"/>
        <v>4</v>
      </c>
      <c r="AU200" s="1">
        <f t="shared" si="146"/>
        <v>0</v>
      </c>
      <c r="AV200" s="1">
        <f t="shared" si="138"/>
        <v>0</v>
      </c>
      <c r="AW200" s="1">
        <f t="shared" si="139"/>
        <v>0</v>
      </c>
      <c r="AX200" s="1">
        <f t="shared" si="140"/>
        <v>0</v>
      </c>
      <c r="AY200" s="1">
        <f t="shared" si="132"/>
        <v>-24.5</v>
      </c>
      <c r="AZ200" s="1">
        <f t="shared" si="141"/>
        <v>0</v>
      </c>
      <c r="BA200" s="1">
        <f t="shared" si="133"/>
        <v>-14</v>
      </c>
      <c r="BB200" s="1">
        <f t="shared" si="137"/>
        <v>0</v>
      </c>
      <c r="BC200" s="1">
        <f t="shared" si="134"/>
        <v>-6</v>
      </c>
      <c r="BD200" s="1">
        <f t="shared" si="135"/>
        <v>0</v>
      </c>
      <c r="BE200" s="1" t="s">
        <v>65</v>
      </c>
      <c r="BF200" s="1">
        <f t="shared" si="144"/>
        <v>49</v>
      </c>
      <c r="BG200" s="1">
        <f t="shared" si="143"/>
        <v>49</v>
      </c>
      <c r="BH200" s="1">
        <f t="shared" si="136"/>
        <v>2</v>
      </c>
      <c r="BI200" s="1" t="e">
        <f>IF(BH200-#REF!=0,"DOĞRU","YANLIŞ")</f>
        <v>#REF!</v>
      </c>
      <c r="BJ200" s="1" t="e">
        <f>#REF!-BH200</f>
        <v>#REF!</v>
      </c>
      <c r="BK200" s="1">
        <v>0</v>
      </c>
      <c r="BM200" s="1">
        <v>0</v>
      </c>
      <c r="BO200" s="1">
        <v>2</v>
      </c>
      <c r="BT200" s="8">
        <f t="shared" si="147"/>
        <v>14</v>
      </c>
      <c r="BU200" s="9"/>
      <c r="BV200" s="10"/>
      <c r="BW200" s="11"/>
      <c r="BX200" s="11"/>
      <c r="BY200" s="11"/>
      <c r="BZ200" s="11"/>
      <c r="CA200" s="11"/>
      <c r="CB200" s="12"/>
      <c r="CC200" s="13"/>
      <c r="CD200" s="14"/>
      <c r="CL200" s="11"/>
      <c r="CM200" s="11"/>
      <c r="CN200" s="11"/>
      <c r="CO200" s="11"/>
      <c r="CP200" s="11"/>
      <c r="CQ200" s="49"/>
      <c r="CR200" s="46"/>
      <c r="CS200" s="49"/>
      <c r="CT200" s="48"/>
      <c r="CU200" s="49"/>
      <c r="CV200" s="48"/>
      <c r="CW200" s="49"/>
      <c r="CX200" s="49"/>
    </row>
    <row r="201" spans="1:102" hidden="1" x14ac:dyDescent="0.25">
      <c r="A201" s="7" t="s">
        <v>237</v>
      </c>
      <c r="B201" s="7" t="s">
        <v>238</v>
      </c>
      <c r="C201" s="1" t="s">
        <v>238</v>
      </c>
      <c r="D201" s="2" t="s">
        <v>63</v>
      </c>
      <c r="E201" s="2" t="s">
        <v>63</v>
      </c>
      <c r="F201" s="3" t="e">
        <f>IF(BE201="S",
IF(#REF!+BM201=2018,
IF(#REF!=1,"18-19/1",
IF(#REF!=2,"18-19/2",
IF(#REF!=3,"19-20/1",
IF(#REF!=4,"19-20/2",
IF(#REF!=5,"20-21/1",
IF(#REF!=6,"20-21/2",
IF(#REF!=7,"21-22/1",
IF(#REF!=8,"21-22/2","Hata1")))))))),
IF(#REF!+BM201=2019,
IF(#REF!=1,"19-20/1",
IF(#REF!=2,"19-20/2",
IF(#REF!=3,"20-21/1",
IF(#REF!=4,"20-21/2",
IF(#REF!=5,"21-22/1",
IF(#REF!=6,"21-22/2",
IF(#REF!=7,"22-23/1",
IF(#REF!=8,"22-23/2","Hata2")))))))),
IF(#REF!+BM201=2020,
IF(#REF!=1,"20-21/1",
IF(#REF!=2,"20-21/2",
IF(#REF!=3,"21-22/1",
IF(#REF!=4,"21-22/2",
IF(#REF!=5,"22-23/1",
IF(#REF!=6,"22-23/2",
IF(#REF!=7,"23-24/1",
IF(#REF!=8,"23-24/2","Hata3")))))))),
IF(#REF!+BM201=2021,
IF(#REF!=1,"21-22/1",
IF(#REF!=2,"21-22/2",
IF(#REF!=3,"22-23/1",
IF(#REF!=4,"22-23/2",
IF(#REF!=5,"23-24/1",
IF(#REF!=6,"23-24/2",
IF(#REF!=7,"24-25/1",
IF(#REF!=8,"24-25/2","Hata4")))))))),
IF(#REF!+BM201=2022,
IF(#REF!=1,"22-23/1",
IF(#REF!=2,"22-23/2",
IF(#REF!=3,"23-24/1",
IF(#REF!=4,"23-24/2",
IF(#REF!=5,"24-25/1",
IF(#REF!=6,"24-25/2",
IF(#REF!=7,"25-26/1",
IF(#REF!=8,"25-26/2","Hata5")))))))),
IF(#REF!+BM201=2023,
IF(#REF!=1,"23-24/1",
IF(#REF!=2,"23-24/2",
IF(#REF!=3,"24-25/1",
IF(#REF!=4,"24-25/2",
IF(#REF!=5,"25-26/1",
IF(#REF!=6,"25-26/2",
IF(#REF!=7,"26-27/1",
IF(#REF!=8,"26-27/2","Hata6")))))))),
)))))),
IF(BE201="T",
IF(#REF!+BM201=2018,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1" s="1" t="s">
        <v>141</v>
      </c>
      <c r="J201" s="1">
        <v>4234771</v>
      </c>
      <c r="L201" s="2">
        <v>2140</v>
      </c>
      <c r="N201" s="2">
        <v>7</v>
      </c>
      <c r="O201" s="6">
        <f t="shared" si="122"/>
        <v>4</v>
      </c>
      <c r="P201" s="2">
        <f t="shared" si="123"/>
        <v>4</v>
      </c>
      <c r="Q201" s="2">
        <v>0</v>
      </c>
      <c r="R201" s="2">
        <v>0</v>
      </c>
      <c r="S201" s="2">
        <v>4</v>
      </c>
      <c r="X201" s="3">
        <v>2</v>
      </c>
      <c r="Y201" s="1">
        <f>VLOOKUP($X201,[24]ölçme_sistemleri!I$1:L$65536,2,FALSE)</f>
        <v>0</v>
      </c>
      <c r="Z201" s="1">
        <f>VLOOKUP($X201,[24]ölçme_sistemleri!I$1:L$65536,3,FALSE)</f>
        <v>2</v>
      </c>
      <c r="AA201" s="1">
        <f>VLOOKUP($X201,[24]ölçme_sistemleri!I$1:L$65536,4,FALSE)</f>
        <v>1</v>
      </c>
      <c r="AB201" s="1">
        <f>$O201*[24]ölçme_sistemleri!J$13</f>
        <v>4</v>
      </c>
      <c r="AC201" s="1">
        <f>$O201*[24]ölçme_sistemleri!K$13</f>
        <v>8</v>
      </c>
      <c r="AD201" s="1">
        <f>$O201*[24]ölçme_sistemleri!L$13</f>
        <v>12</v>
      </c>
      <c r="AE201" s="1">
        <f t="shared" si="124"/>
        <v>0</v>
      </c>
      <c r="AF201" s="1">
        <f t="shared" si="125"/>
        <v>16</v>
      </c>
      <c r="AG201" s="1">
        <f t="shared" si="126"/>
        <v>12</v>
      </c>
      <c r="AH201" s="1">
        <f t="shared" si="127"/>
        <v>28</v>
      </c>
      <c r="AI201" s="1">
        <v>14</v>
      </c>
      <c r="AJ201" s="1">
        <f>VLOOKUP(X201,[24]ölçme_sistemleri!I$1:M$65536,5,FALSE)</f>
        <v>2</v>
      </c>
      <c r="AK201" s="1">
        <f t="shared" si="128"/>
        <v>392</v>
      </c>
      <c r="AL201" s="36">
        <f>AI201*6</f>
        <v>84</v>
      </c>
      <c r="AM201" s="1">
        <f>VLOOKUP(X201,[24]ölçme_sistemleri!I$1:N$65536,6,FALSE)</f>
        <v>3</v>
      </c>
      <c r="AN201" s="1">
        <v>2</v>
      </c>
      <c r="AO201" s="1">
        <f t="shared" si="129"/>
        <v>6</v>
      </c>
      <c r="AP201" s="1">
        <v>14</v>
      </c>
      <c r="AQ201" s="1">
        <f t="shared" si="145"/>
        <v>56</v>
      </c>
      <c r="AR201" s="1">
        <f t="shared" si="130"/>
        <v>174</v>
      </c>
      <c r="AS201" s="1">
        <f t="shared" si="142"/>
        <v>25</v>
      </c>
      <c r="AT201" s="1">
        <f t="shared" si="131"/>
        <v>7</v>
      </c>
      <c r="AU201" s="1">
        <f t="shared" si="146"/>
        <v>0</v>
      </c>
      <c r="AV201" s="1">
        <f t="shared" si="138"/>
        <v>0</v>
      </c>
      <c r="AW201" s="1">
        <f t="shared" si="139"/>
        <v>0</v>
      </c>
      <c r="AX201" s="1">
        <f t="shared" si="140"/>
        <v>0</v>
      </c>
      <c r="AY201" s="1">
        <f t="shared" si="132"/>
        <v>-28</v>
      </c>
      <c r="AZ201" s="1">
        <f t="shared" si="141"/>
        <v>0</v>
      </c>
      <c r="BA201" s="1">
        <f t="shared" si="133"/>
        <v>-84</v>
      </c>
      <c r="BB201" s="1">
        <f t="shared" si="137"/>
        <v>0</v>
      </c>
      <c r="BC201" s="1">
        <f t="shared" si="134"/>
        <v>-6</v>
      </c>
      <c r="BD201" s="1">
        <f t="shared" si="135"/>
        <v>0</v>
      </c>
      <c r="BE201" s="1" t="s">
        <v>65</v>
      </c>
      <c r="BF201" s="1">
        <f t="shared" si="144"/>
        <v>56</v>
      </c>
      <c r="BG201" s="1">
        <f t="shared" si="143"/>
        <v>56</v>
      </c>
      <c r="BH201" s="1">
        <f t="shared" si="136"/>
        <v>2</v>
      </c>
      <c r="BI201" s="1" t="e">
        <f>IF(BH201-#REF!=0,"DOĞRU","YANLIŞ")</f>
        <v>#REF!</v>
      </c>
      <c r="BJ201" s="1" t="e">
        <f>#REF!-BH201</f>
        <v>#REF!</v>
      </c>
      <c r="BK201" s="1">
        <v>0</v>
      </c>
      <c r="BM201" s="1">
        <v>0</v>
      </c>
      <c r="BO201" s="1">
        <v>3</v>
      </c>
      <c r="BT201" s="8">
        <f t="shared" si="147"/>
        <v>0</v>
      </c>
      <c r="BU201" s="9"/>
      <c r="BV201" s="10"/>
      <c r="BW201" s="11"/>
      <c r="BX201" s="11"/>
      <c r="BY201" s="11"/>
      <c r="BZ201" s="11"/>
      <c r="CA201" s="11"/>
      <c r="CB201" s="12"/>
      <c r="CC201" s="13"/>
      <c r="CD201" s="14"/>
      <c r="CL201" s="11"/>
      <c r="CM201" s="11"/>
      <c r="CN201" s="11"/>
      <c r="CO201" s="11"/>
      <c r="CP201" s="11"/>
      <c r="CQ201" s="49"/>
      <c r="CR201" s="46"/>
      <c r="CS201" s="49"/>
      <c r="CT201" s="48"/>
      <c r="CU201" s="48"/>
      <c r="CV201" s="48"/>
      <c r="CW201" s="49"/>
      <c r="CX201" s="49"/>
    </row>
    <row r="202" spans="1:102" hidden="1" x14ac:dyDescent="0.25">
      <c r="A202" s="7" t="s">
        <v>235</v>
      </c>
      <c r="B202" s="7" t="s">
        <v>236</v>
      </c>
      <c r="C202" s="1" t="s">
        <v>236</v>
      </c>
      <c r="D202" s="2" t="s">
        <v>63</v>
      </c>
      <c r="E202" s="2" t="s">
        <v>63</v>
      </c>
      <c r="F202" s="3" t="e">
        <f>IF(BE202="S",
IF(#REF!+BM202=2018,
IF(#REF!=1,"18-19/1",
IF(#REF!=2,"18-19/2",
IF(#REF!=3,"19-20/1",
IF(#REF!=4,"19-20/2",
IF(#REF!=5,"20-21/1",
IF(#REF!=6,"20-21/2",
IF(#REF!=7,"21-22/1",
IF(#REF!=8,"21-22/2","Hata1")))))))),
IF(#REF!+BM202=2019,
IF(#REF!=1,"19-20/1",
IF(#REF!=2,"19-20/2",
IF(#REF!=3,"20-21/1",
IF(#REF!=4,"20-21/2",
IF(#REF!=5,"21-22/1",
IF(#REF!=6,"21-22/2",
IF(#REF!=7,"22-23/1",
IF(#REF!=8,"22-23/2","Hata2")))))))),
IF(#REF!+BM202=2020,
IF(#REF!=1,"20-21/1",
IF(#REF!=2,"20-21/2",
IF(#REF!=3,"21-22/1",
IF(#REF!=4,"21-22/2",
IF(#REF!=5,"22-23/1",
IF(#REF!=6,"22-23/2",
IF(#REF!=7,"23-24/1",
IF(#REF!=8,"23-24/2","Hata3")))))))),
IF(#REF!+BM202=2021,
IF(#REF!=1,"21-22/1",
IF(#REF!=2,"21-22/2",
IF(#REF!=3,"22-23/1",
IF(#REF!=4,"22-23/2",
IF(#REF!=5,"23-24/1",
IF(#REF!=6,"23-24/2",
IF(#REF!=7,"24-25/1",
IF(#REF!=8,"24-25/2","Hata4")))))))),
IF(#REF!+BM202=2022,
IF(#REF!=1,"22-23/1",
IF(#REF!=2,"22-23/2",
IF(#REF!=3,"23-24/1",
IF(#REF!=4,"23-24/2",
IF(#REF!=5,"24-25/1",
IF(#REF!=6,"24-25/2",
IF(#REF!=7,"25-26/1",
IF(#REF!=8,"25-26/2","Hata5")))))))),
IF(#REF!+BM202=2023,
IF(#REF!=1,"23-24/1",
IF(#REF!=2,"23-24/2",
IF(#REF!=3,"24-25/1",
IF(#REF!=4,"24-25/2",
IF(#REF!=5,"25-26/1",
IF(#REF!=6,"25-26/2",
IF(#REF!=7,"26-27/1",
IF(#REF!=8,"26-27/2","Hata6")))))))),
)))))),
IF(BE202="T",
IF(#REF!+BM202=2018,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2" s="1" t="s">
        <v>141</v>
      </c>
      <c r="J202" s="1">
        <v>4234771</v>
      </c>
      <c r="L202" s="2">
        <v>2148</v>
      </c>
      <c r="N202" s="2">
        <v>8</v>
      </c>
      <c r="O202" s="6">
        <f t="shared" si="122"/>
        <v>4</v>
      </c>
      <c r="P202" s="2">
        <f t="shared" si="123"/>
        <v>4</v>
      </c>
      <c r="Q202" s="2">
        <v>4</v>
      </c>
      <c r="R202" s="2">
        <v>0</v>
      </c>
      <c r="S202" s="2">
        <v>0</v>
      </c>
      <c r="X202" s="3">
        <v>2</v>
      </c>
      <c r="Y202" s="1">
        <f>VLOOKUP($X202,[24]ölçme_sistemleri!I$1:L$65536,2,FALSE)</f>
        <v>0</v>
      </c>
      <c r="Z202" s="1">
        <f>VLOOKUP($X202,[24]ölçme_sistemleri!I$1:L$65536,3,FALSE)</f>
        <v>2</v>
      </c>
      <c r="AA202" s="1">
        <f>VLOOKUP($X202,[24]ölçme_sistemleri!I$1:L$65536,4,FALSE)</f>
        <v>1</v>
      </c>
      <c r="AB202" s="1">
        <f>$O202*[24]ölçme_sistemleri!J$13</f>
        <v>4</v>
      </c>
      <c r="AC202" s="1">
        <f>$O202*[24]ölçme_sistemleri!K$13</f>
        <v>8</v>
      </c>
      <c r="AD202" s="1">
        <f>$O202*[24]ölçme_sistemleri!L$13</f>
        <v>12</v>
      </c>
      <c r="AE202" s="1">
        <f t="shared" si="124"/>
        <v>0</v>
      </c>
      <c r="AF202" s="1">
        <f t="shared" si="125"/>
        <v>16</v>
      </c>
      <c r="AG202" s="1">
        <f t="shared" si="126"/>
        <v>12</v>
      </c>
      <c r="AH202" s="1">
        <f t="shared" si="127"/>
        <v>28</v>
      </c>
      <c r="AI202" s="1">
        <v>14</v>
      </c>
      <c r="AJ202" s="1">
        <f>VLOOKUP(X202,[24]ölçme_sistemleri!I$1:M$65536,5,FALSE)</f>
        <v>2</v>
      </c>
      <c r="AK202" s="1">
        <f t="shared" si="128"/>
        <v>392</v>
      </c>
      <c r="AL202" s="1">
        <f>AI202*7</f>
        <v>98</v>
      </c>
      <c r="AM202" s="1">
        <f>VLOOKUP(X202,[24]ölçme_sistemleri!I$1:N$65536,6,FALSE)</f>
        <v>3</v>
      </c>
      <c r="AN202" s="1">
        <v>2</v>
      </c>
      <c r="AO202" s="1">
        <f t="shared" si="129"/>
        <v>6</v>
      </c>
      <c r="AP202" s="1">
        <v>14</v>
      </c>
      <c r="AQ202" s="1">
        <f t="shared" si="145"/>
        <v>56</v>
      </c>
      <c r="AR202" s="1">
        <f t="shared" si="130"/>
        <v>188</v>
      </c>
      <c r="AS202" s="1">
        <f t="shared" si="142"/>
        <v>25</v>
      </c>
      <c r="AT202" s="1">
        <f t="shared" si="131"/>
        <v>8</v>
      </c>
      <c r="AU202" s="1">
        <f t="shared" si="146"/>
        <v>0</v>
      </c>
      <c r="AV202" s="1">
        <f t="shared" si="138"/>
        <v>0</v>
      </c>
      <c r="AW202" s="1">
        <f t="shared" si="139"/>
        <v>0</v>
      </c>
      <c r="AX202" s="1">
        <f t="shared" si="140"/>
        <v>0</v>
      </c>
      <c r="AY202" s="1">
        <f t="shared" si="132"/>
        <v>-28</v>
      </c>
      <c r="AZ202" s="1">
        <f t="shared" si="141"/>
        <v>0</v>
      </c>
      <c r="BA202" s="1">
        <f t="shared" si="133"/>
        <v>-98</v>
      </c>
      <c r="BB202" s="1">
        <f t="shared" si="137"/>
        <v>0</v>
      </c>
      <c r="BC202" s="1">
        <f t="shared" si="134"/>
        <v>-6</v>
      </c>
      <c r="BD202" s="1">
        <f t="shared" si="135"/>
        <v>0</v>
      </c>
      <c r="BE202" s="1" t="s">
        <v>65</v>
      </c>
      <c r="BF202" s="1">
        <f t="shared" si="144"/>
        <v>56</v>
      </c>
      <c r="BG202" s="1">
        <f t="shared" si="143"/>
        <v>56</v>
      </c>
      <c r="BH202" s="1">
        <f t="shared" si="136"/>
        <v>2</v>
      </c>
      <c r="BI202" s="1" t="e">
        <f>IF(BH202-#REF!=0,"DOĞRU","YANLIŞ")</f>
        <v>#REF!</v>
      </c>
      <c r="BJ202" s="1" t="e">
        <f>#REF!-BH202</f>
        <v>#REF!</v>
      </c>
      <c r="BK202" s="1">
        <v>0</v>
      </c>
      <c r="BM202" s="1">
        <v>0</v>
      </c>
      <c r="BO202" s="1">
        <v>3</v>
      </c>
      <c r="BT202" s="8">
        <f t="shared" si="147"/>
        <v>0</v>
      </c>
      <c r="BU202" s="9"/>
      <c r="BV202" s="10"/>
      <c r="BW202" s="11"/>
      <c r="BX202" s="11"/>
      <c r="BY202" s="11"/>
      <c r="BZ202" s="11"/>
      <c r="CA202" s="11"/>
      <c r="CB202" s="12"/>
      <c r="CC202" s="13"/>
      <c r="CD202" s="14"/>
      <c r="CL202" s="11"/>
      <c r="CM202" s="11"/>
      <c r="CN202" s="11"/>
      <c r="CO202" s="11"/>
      <c r="CP202" s="11"/>
      <c r="CQ202" s="54"/>
      <c r="CR202" s="55"/>
      <c r="CS202" s="54"/>
      <c r="CT202" s="55"/>
      <c r="CU202" s="48"/>
      <c r="CV202" s="48"/>
      <c r="CW202" s="49"/>
      <c r="CX202" s="49"/>
    </row>
    <row r="203" spans="1:102" hidden="1" x14ac:dyDescent="0.25">
      <c r="A203" s="7" t="s">
        <v>79</v>
      </c>
      <c r="B203" s="7" t="s">
        <v>80</v>
      </c>
      <c r="C203" s="1" t="s">
        <v>80</v>
      </c>
      <c r="D203" s="2" t="s">
        <v>58</v>
      </c>
      <c r="E203" s="2" t="s">
        <v>58</v>
      </c>
      <c r="F203" s="3" t="e">
        <f>IF(BE203="S",
IF(#REF!+BM203=2018,
IF(#REF!=1,"18-19/1",
IF(#REF!=2,"18-19/2",
IF(#REF!=3,"19-20/1",
IF(#REF!=4,"19-20/2",
IF(#REF!=5,"20-21/1",
IF(#REF!=6,"20-21/2",
IF(#REF!=7,"21-22/1",
IF(#REF!=8,"21-22/2","Hata1")))))))),
IF(#REF!+BM203=2019,
IF(#REF!=1,"19-20/1",
IF(#REF!=2,"19-20/2",
IF(#REF!=3,"20-21/1",
IF(#REF!=4,"20-21/2",
IF(#REF!=5,"21-22/1",
IF(#REF!=6,"21-22/2",
IF(#REF!=7,"22-23/1",
IF(#REF!=8,"22-23/2","Hata2")))))))),
IF(#REF!+BM203=2020,
IF(#REF!=1,"20-21/1",
IF(#REF!=2,"20-21/2",
IF(#REF!=3,"21-22/1",
IF(#REF!=4,"21-22/2",
IF(#REF!=5,"22-23/1",
IF(#REF!=6,"22-23/2",
IF(#REF!=7,"23-24/1",
IF(#REF!=8,"23-24/2","Hata3")))))))),
IF(#REF!+BM203=2021,
IF(#REF!=1,"21-22/1",
IF(#REF!=2,"21-22/2",
IF(#REF!=3,"22-23/1",
IF(#REF!=4,"22-23/2",
IF(#REF!=5,"23-24/1",
IF(#REF!=6,"23-24/2",
IF(#REF!=7,"24-25/1",
IF(#REF!=8,"24-25/2","Hata4")))))))),
IF(#REF!+BM203=2022,
IF(#REF!=1,"22-23/1",
IF(#REF!=2,"22-23/2",
IF(#REF!=3,"23-24/1",
IF(#REF!=4,"23-24/2",
IF(#REF!=5,"24-25/1",
IF(#REF!=6,"24-25/2",
IF(#REF!=7,"25-26/1",
IF(#REF!=8,"25-26/2","Hata5")))))))),
IF(#REF!+BM203=2023,
IF(#REF!=1,"23-24/1",
IF(#REF!=2,"23-24/2",
IF(#REF!=3,"24-25/1",
IF(#REF!=4,"24-25/2",
IF(#REF!=5,"25-26/1",
IF(#REF!=6,"25-26/2",
IF(#REF!=7,"26-27/1",
IF(#REF!=8,"26-27/2","Hata6")))))))),
)))))),
IF(BE203="T",
IF(#REF!+BM203=2018,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3" s="1" t="s">
        <v>141</v>
      </c>
      <c r="J203" s="1">
        <v>4234771</v>
      </c>
      <c r="L203" s="2">
        <v>3401</v>
      </c>
      <c r="N203" s="2">
        <v>4</v>
      </c>
      <c r="O203" s="6">
        <f t="shared" si="122"/>
        <v>2</v>
      </c>
      <c r="P203" s="2">
        <f t="shared" si="123"/>
        <v>2</v>
      </c>
      <c r="Q203" s="2">
        <v>2</v>
      </c>
      <c r="R203" s="2">
        <v>0</v>
      </c>
      <c r="S203" s="2">
        <v>0</v>
      </c>
      <c r="X203" s="3">
        <v>4</v>
      </c>
      <c r="Y203" s="1">
        <f>VLOOKUP($X203,[5]ölçme_sistemleri!I$1:L$65536,2,FALSE)</f>
        <v>0</v>
      </c>
      <c r="Z203" s="1">
        <f>VLOOKUP($X203,[5]ölçme_sistemleri!I$1:L$65536,3,FALSE)</f>
        <v>1</v>
      </c>
      <c r="AA203" s="1">
        <f>VLOOKUP($X203,[5]ölçme_sistemleri!I$1:L$65536,4,FALSE)</f>
        <v>1</v>
      </c>
      <c r="AB203" s="1">
        <f>$O203*[5]ölçme_sistemleri!J$13</f>
        <v>2</v>
      </c>
      <c r="AC203" s="1">
        <f>$O203*[5]ölçme_sistemleri!K$13</f>
        <v>4</v>
      </c>
      <c r="AD203" s="1">
        <f>$O203*[5]ölçme_sistemleri!L$13</f>
        <v>6</v>
      </c>
      <c r="AE203" s="1">
        <f t="shared" si="124"/>
        <v>0</v>
      </c>
      <c r="AF203" s="1">
        <f t="shared" si="125"/>
        <v>4</v>
      </c>
      <c r="AG203" s="1">
        <f t="shared" si="126"/>
        <v>6</v>
      </c>
      <c r="AH203" s="1">
        <f t="shared" si="127"/>
        <v>10</v>
      </c>
      <c r="AI203" s="1">
        <v>14</v>
      </c>
      <c r="AJ203" s="1">
        <f>VLOOKUP(X203,[5]ölçme_sistemleri!I$1:M$65536,5,FALSE)</f>
        <v>1</v>
      </c>
      <c r="AK203" s="1">
        <f t="shared" si="128"/>
        <v>140</v>
      </c>
      <c r="AL203" s="1">
        <f>AI203*4</f>
        <v>56</v>
      </c>
      <c r="AM203" s="1">
        <f>VLOOKUP(X203,[5]ölçme_sistemleri!I$1:N$65536,6,FALSE)</f>
        <v>2</v>
      </c>
      <c r="AN203" s="1">
        <v>2</v>
      </c>
      <c r="AO203" s="1">
        <f t="shared" si="129"/>
        <v>4</v>
      </c>
      <c r="AP203" s="1">
        <v>14</v>
      </c>
      <c r="AQ203" s="1">
        <f t="shared" si="145"/>
        <v>28</v>
      </c>
      <c r="AR203" s="1">
        <f t="shared" si="130"/>
        <v>98</v>
      </c>
      <c r="AS203" s="1">
        <f t="shared" si="142"/>
        <v>25</v>
      </c>
      <c r="AT203" s="1">
        <f t="shared" si="131"/>
        <v>4</v>
      </c>
      <c r="AU203" s="1">
        <f t="shared" si="146"/>
        <v>0</v>
      </c>
      <c r="AV203" s="1">
        <f t="shared" si="138"/>
        <v>0</v>
      </c>
      <c r="AW203" s="1">
        <f t="shared" si="139"/>
        <v>0</v>
      </c>
      <c r="AX203" s="1">
        <f t="shared" si="140"/>
        <v>0</v>
      </c>
      <c r="AY203" s="1">
        <f t="shared" si="132"/>
        <v>-10</v>
      </c>
      <c r="AZ203" s="1">
        <f t="shared" si="141"/>
        <v>0</v>
      </c>
      <c r="BA203" s="1">
        <f t="shared" si="133"/>
        <v>-56</v>
      </c>
      <c r="BB203" s="1">
        <f t="shared" si="137"/>
        <v>0</v>
      </c>
      <c r="BC203" s="1">
        <f t="shared" si="134"/>
        <v>-4</v>
      </c>
      <c r="BD203" s="1">
        <f t="shared" si="135"/>
        <v>0</v>
      </c>
      <c r="BE203" s="1" t="s">
        <v>65</v>
      </c>
      <c r="BF203" s="1">
        <f t="shared" si="144"/>
        <v>28</v>
      </c>
      <c r="BG203" s="1">
        <f t="shared" si="143"/>
        <v>28</v>
      </c>
      <c r="BH203" s="1">
        <f t="shared" si="136"/>
        <v>1</v>
      </c>
      <c r="BI203" s="1" t="e">
        <f>IF(BH203-#REF!=0,"DOĞRU","YANLIŞ")</f>
        <v>#REF!</v>
      </c>
      <c r="BJ203" s="1" t="e">
        <f>#REF!-BH203</f>
        <v>#REF!</v>
      </c>
      <c r="BK203" s="1">
        <v>0</v>
      </c>
      <c r="BM203" s="1">
        <v>0</v>
      </c>
      <c r="BO203" s="1">
        <v>2</v>
      </c>
      <c r="BT203" s="8">
        <f t="shared" si="147"/>
        <v>0</v>
      </c>
      <c r="BU203" s="9"/>
      <c r="BV203" s="10"/>
      <c r="BW203" s="11"/>
      <c r="BX203" s="11"/>
      <c r="BY203" s="11"/>
      <c r="BZ203" s="11"/>
      <c r="CA203" s="11"/>
      <c r="CB203" s="12"/>
      <c r="CC203" s="13"/>
      <c r="CD203" s="14"/>
      <c r="CL203" s="11"/>
      <c r="CM203" s="11"/>
      <c r="CN203" s="11"/>
      <c r="CO203" s="11"/>
      <c r="CP203" s="11"/>
      <c r="CQ203" s="49"/>
      <c r="CR203" s="46"/>
      <c r="CS203" s="48"/>
      <c r="CT203" s="48"/>
      <c r="CU203" s="48"/>
      <c r="CV203" s="48"/>
      <c r="CW203" s="49"/>
      <c r="CX203" s="49"/>
    </row>
    <row r="204" spans="1:102" hidden="1" x14ac:dyDescent="0.25">
      <c r="A204" s="7" t="s">
        <v>229</v>
      </c>
      <c r="B204" s="7" t="s">
        <v>230</v>
      </c>
      <c r="C204" s="1" t="s">
        <v>230</v>
      </c>
      <c r="D204" s="2" t="s">
        <v>63</v>
      </c>
      <c r="E204" s="2" t="s">
        <v>63</v>
      </c>
      <c r="F204" s="3" t="e">
        <f>IF(BE204="S",
IF(#REF!+BM204=2018,
IF(#REF!=1,"18-19/1",
IF(#REF!=2,"18-19/2",
IF(#REF!=3,"19-20/1",
IF(#REF!=4,"19-20/2",
IF(#REF!=5,"20-21/1",
IF(#REF!=6,"20-21/2",
IF(#REF!=7,"21-22/1",
IF(#REF!=8,"21-22/2","Hata1")))))))),
IF(#REF!+BM204=2019,
IF(#REF!=1,"19-20/1",
IF(#REF!=2,"19-20/2",
IF(#REF!=3,"20-21/1",
IF(#REF!=4,"20-21/2",
IF(#REF!=5,"21-22/1",
IF(#REF!=6,"21-22/2",
IF(#REF!=7,"22-23/1",
IF(#REF!=8,"22-23/2","Hata2")))))))),
IF(#REF!+BM204=2020,
IF(#REF!=1,"20-21/1",
IF(#REF!=2,"20-21/2",
IF(#REF!=3,"21-22/1",
IF(#REF!=4,"21-22/2",
IF(#REF!=5,"22-23/1",
IF(#REF!=6,"22-23/2",
IF(#REF!=7,"23-24/1",
IF(#REF!=8,"23-24/2","Hata3")))))))),
IF(#REF!+BM204=2021,
IF(#REF!=1,"21-22/1",
IF(#REF!=2,"21-22/2",
IF(#REF!=3,"22-23/1",
IF(#REF!=4,"22-23/2",
IF(#REF!=5,"23-24/1",
IF(#REF!=6,"23-24/2",
IF(#REF!=7,"24-25/1",
IF(#REF!=8,"24-25/2","Hata4")))))))),
IF(#REF!+BM204=2022,
IF(#REF!=1,"22-23/1",
IF(#REF!=2,"22-23/2",
IF(#REF!=3,"23-24/1",
IF(#REF!=4,"23-24/2",
IF(#REF!=5,"24-25/1",
IF(#REF!=6,"24-25/2",
IF(#REF!=7,"25-26/1",
IF(#REF!=8,"25-26/2","Hata5")))))))),
IF(#REF!+BM204=2023,
IF(#REF!=1,"23-24/1",
IF(#REF!=2,"23-24/2",
IF(#REF!=3,"24-25/1",
IF(#REF!=4,"24-25/2",
IF(#REF!=5,"25-26/1",
IF(#REF!=6,"25-26/2",
IF(#REF!=7,"26-27/1",
IF(#REF!=8,"26-27/2","Hata6")))))))),
)))))),
IF(BE204="T",
IF(#REF!+BM204=2018,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4" s="1" t="s">
        <v>141</v>
      </c>
      <c r="J204" s="1">
        <v>4234771</v>
      </c>
      <c r="L204" s="2">
        <v>3527</v>
      </c>
      <c r="N204" s="2">
        <v>4</v>
      </c>
      <c r="O204" s="6">
        <f t="shared" si="122"/>
        <v>3</v>
      </c>
      <c r="P204" s="2">
        <f t="shared" si="123"/>
        <v>3</v>
      </c>
      <c r="Q204" s="2">
        <v>3</v>
      </c>
      <c r="R204" s="2">
        <v>0</v>
      </c>
      <c r="S204" s="2">
        <v>0</v>
      </c>
      <c r="X204" s="3">
        <v>2</v>
      </c>
      <c r="Y204" s="1">
        <f>VLOOKUP($X204,[5]ölçme_sistemleri!I$1:L$65536,2,FALSE)</f>
        <v>0</v>
      </c>
      <c r="Z204" s="1">
        <f>VLOOKUP($X204,[5]ölçme_sistemleri!I$1:L$65536,3,FALSE)</f>
        <v>2</v>
      </c>
      <c r="AA204" s="1">
        <f>VLOOKUP($X204,[5]ölçme_sistemleri!I$1:L$65536,4,FALSE)</f>
        <v>1</v>
      </c>
      <c r="AB204" s="1">
        <f>$O204*[5]ölçme_sistemleri!J$13</f>
        <v>3</v>
      </c>
      <c r="AC204" s="1">
        <f>$O204*[5]ölçme_sistemleri!K$13</f>
        <v>6</v>
      </c>
      <c r="AD204" s="1">
        <f>$O204*[5]ölçme_sistemleri!L$13</f>
        <v>9</v>
      </c>
      <c r="AE204" s="1">
        <f t="shared" si="124"/>
        <v>0</v>
      </c>
      <c r="AF204" s="1">
        <f t="shared" si="125"/>
        <v>12</v>
      </c>
      <c r="AG204" s="1">
        <f t="shared" si="126"/>
        <v>9</v>
      </c>
      <c r="AH204" s="1">
        <f t="shared" si="127"/>
        <v>21</v>
      </c>
      <c r="AI204" s="1">
        <v>14</v>
      </c>
      <c r="AJ204" s="1">
        <f>VLOOKUP(X204,[5]ölçme_sistemleri!I$1:M$65536,5,FALSE)</f>
        <v>2</v>
      </c>
      <c r="AK204" s="1">
        <f t="shared" si="128"/>
        <v>294</v>
      </c>
      <c r="AL204" s="1">
        <f>(Q204+S204)*AI204/2</f>
        <v>21</v>
      </c>
      <c r="AM204" s="1">
        <f>VLOOKUP(X204,[5]ölçme_sistemleri!I$1:N$65536,6,FALSE)</f>
        <v>3</v>
      </c>
      <c r="AN204" s="1">
        <v>2</v>
      </c>
      <c r="AO204" s="1">
        <f t="shared" si="129"/>
        <v>6</v>
      </c>
      <c r="AP204" s="1">
        <v>14</v>
      </c>
      <c r="AQ204" s="1">
        <f t="shared" si="145"/>
        <v>42</v>
      </c>
      <c r="AR204" s="1">
        <f t="shared" si="130"/>
        <v>90</v>
      </c>
      <c r="AS204" s="1">
        <f t="shared" si="142"/>
        <v>25</v>
      </c>
      <c r="AT204" s="1">
        <f t="shared" si="131"/>
        <v>4</v>
      </c>
      <c r="AU204" s="1">
        <f t="shared" si="146"/>
        <v>0</v>
      </c>
      <c r="AV204" s="1">
        <f t="shared" si="138"/>
        <v>0</v>
      </c>
      <c r="AW204" s="1">
        <f t="shared" si="139"/>
        <v>0</v>
      </c>
      <c r="AX204" s="1">
        <f t="shared" si="140"/>
        <v>0</v>
      </c>
      <c r="AY204" s="1">
        <f t="shared" si="132"/>
        <v>-21</v>
      </c>
      <c r="AZ204" s="1">
        <f t="shared" si="141"/>
        <v>0</v>
      </c>
      <c r="BA204" s="1">
        <f t="shared" si="133"/>
        <v>-21</v>
      </c>
      <c r="BB204" s="1">
        <f t="shared" si="137"/>
        <v>0</v>
      </c>
      <c r="BC204" s="1">
        <f t="shared" si="134"/>
        <v>-6</v>
      </c>
      <c r="BD204" s="1">
        <f t="shared" si="135"/>
        <v>0</v>
      </c>
      <c r="BE204" s="1" t="s">
        <v>65</v>
      </c>
      <c r="BF204" s="1">
        <f t="shared" si="144"/>
        <v>42</v>
      </c>
      <c r="BG204" s="1">
        <f t="shared" si="143"/>
        <v>42</v>
      </c>
      <c r="BH204" s="1">
        <f t="shared" si="136"/>
        <v>1</v>
      </c>
      <c r="BI204" s="1" t="e">
        <f>IF(BH204-#REF!=0,"DOĞRU","YANLIŞ")</f>
        <v>#REF!</v>
      </c>
      <c r="BJ204" s="1" t="e">
        <f>#REF!-BH204</f>
        <v>#REF!</v>
      </c>
      <c r="BK204" s="1">
        <v>0</v>
      </c>
      <c r="BM204" s="1">
        <v>0</v>
      </c>
      <c r="BO204" s="1">
        <v>2</v>
      </c>
      <c r="BT204" s="8">
        <f t="shared" si="147"/>
        <v>0</v>
      </c>
      <c r="BU204" s="9"/>
      <c r="BV204" s="10"/>
      <c r="BW204" s="11"/>
      <c r="BX204" s="11"/>
      <c r="BY204" s="11"/>
      <c r="BZ204" s="11"/>
      <c r="CA204" s="11"/>
      <c r="CB204" s="12"/>
      <c r="CC204" s="13"/>
      <c r="CD204" s="14"/>
      <c r="CL204" s="11"/>
      <c r="CM204" s="11"/>
      <c r="CN204" s="11"/>
      <c r="CO204" s="11"/>
      <c r="CP204" s="11"/>
      <c r="CQ204" s="46"/>
      <c r="CR204" s="46"/>
      <c r="CS204" s="48"/>
      <c r="CT204" s="48"/>
      <c r="CU204" s="48"/>
      <c r="CV204" s="48"/>
      <c r="CW204" s="49"/>
      <c r="CX204" s="49"/>
    </row>
    <row r="205" spans="1:102" hidden="1" x14ac:dyDescent="0.25">
      <c r="A205" s="7" t="s">
        <v>239</v>
      </c>
      <c r="B205" s="35" t="s">
        <v>469</v>
      </c>
      <c r="C205" s="1" t="s">
        <v>469</v>
      </c>
      <c r="D205" s="2" t="s">
        <v>58</v>
      </c>
      <c r="E205" s="2" t="s">
        <v>58</v>
      </c>
      <c r="F205" s="3" t="e">
        <f>IF(BE205="S",
IF(#REF!+BM205=2018,
IF(#REF!=1,"18-19/1",
IF(#REF!=2,"18-19/2",
IF(#REF!=3,"19-20/1",
IF(#REF!=4,"19-20/2",
IF(#REF!=5,"20-21/1",
IF(#REF!=6,"20-21/2",
IF(#REF!=7,"21-22/1",
IF(#REF!=8,"21-22/2","Hata1")))))))),
IF(#REF!+BM205=2019,
IF(#REF!=1,"19-20/1",
IF(#REF!=2,"19-20/2",
IF(#REF!=3,"20-21/1",
IF(#REF!=4,"20-21/2",
IF(#REF!=5,"21-22/1",
IF(#REF!=6,"21-22/2",
IF(#REF!=7,"22-23/1",
IF(#REF!=8,"22-23/2","Hata2")))))))),
IF(#REF!+BM205=2020,
IF(#REF!=1,"20-21/1",
IF(#REF!=2,"20-21/2",
IF(#REF!=3,"21-22/1",
IF(#REF!=4,"21-22/2",
IF(#REF!=5,"22-23/1",
IF(#REF!=6,"22-23/2",
IF(#REF!=7,"23-24/1",
IF(#REF!=8,"23-24/2","Hata3")))))))),
IF(#REF!+BM205=2021,
IF(#REF!=1,"21-22/1",
IF(#REF!=2,"21-22/2",
IF(#REF!=3,"22-23/1",
IF(#REF!=4,"22-23/2",
IF(#REF!=5,"23-24/1",
IF(#REF!=6,"23-24/2",
IF(#REF!=7,"24-25/1",
IF(#REF!=8,"24-25/2","Hata4")))))))),
IF(#REF!+BM205=2022,
IF(#REF!=1,"22-23/1",
IF(#REF!=2,"22-23/2",
IF(#REF!=3,"23-24/1",
IF(#REF!=4,"23-24/2",
IF(#REF!=5,"24-25/1",
IF(#REF!=6,"24-25/2",
IF(#REF!=7,"25-26/1",
IF(#REF!=8,"25-26/2","Hata5")))))))),
IF(#REF!+BM205=2023,
IF(#REF!=1,"23-24/1",
IF(#REF!=2,"23-24/2",
IF(#REF!=3,"24-25/1",
IF(#REF!=4,"24-25/2",
IF(#REF!=5,"25-26/1",
IF(#REF!=6,"25-26/2",
IF(#REF!=7,"26-27/1",
IF(#REF!=8,"26-27/2","Hata6")))))))),
)))))),
IF(BE205="T",
IF(#REF!+BM205=2018,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5" s="1" t="s">
        <v>141</v>
      </c>
      <c r="J205" s="1">
        <v>4234771</v>
      </c>
      <c r="L205" s="2">
        <v>3531</v>
      </c>
      <c r="N205" s="2">
        <v>4</v>
      </c>
      <c r="O205" s="6">
        <f t="shared" si="122"/>
        <v>3</v>
      </c>
      <c r="P205" s="2">
        <f t="shared" si="123"/>
        <v>4</v>
      </c>
      <c r="Q205" s="2">
        <v>2</v>
      </c>
      <c r="R205" s="2">
        <v>2</v>
      </c>
      <c r="S205" s="2">
        <v>0</v>
      </c>
      <c r="X205" s="3">
        <v>2</v>
      </c>
      <c r="Y205" s="1">
        <f>VLOOKUP($X205,[24]ölçme_sistemleri!I$1:L$65536,2,FALSE)</f>
        <v>0</v>
      </c>
      <c r="Z205" s="1">
        <f>VLOOKUP($X205,[24]ölçme_sistemleri!I$1:L$65536,3,FALSE)</f>
        <v>2</v>
      </c>
      <c r="AA205" s="1">
        <f>VLOOKUP($X205,[24]ölçme_sistemleri!I$1:L$65536,4,FALSE)</f>
        <v>1</v>
      </c>
      <c r="AB205" s="1">
        <f>$O205*[24]ölçme_sistemleri!J$13</f>
        <v>3</v>
      </c>
      <c r="AC205" s="1">
        <f>$O205*[24]ölçme_sistemleri!K$13</f>
        <v>6</v>
      </c>
      <c r="AD205" s="1">
        <f>$O205*[24]ölçme_sistemleri!L$13</f>
        <v>9</v>
      </c>
      <c r="AE205" s="1">
        <f t="shared" si="124"/>
        <v>0</v>
      </c>
      <c r="AF205" s="1">
        <f t="shared" si="125"/>
        <v>12</v>
      </c>
      <c r="AG205" s="1">
        <f t="shared" si="126"/>
        <v>9</v>
      </c>
      <c r="AH205" s="1">
        <f t="shared" si="127"/>
        <v>21</v>
      </c>
      <c r="AI205" s="1">
        <v>14</v>
      </c>
      <c r="AJ205" s="1">
        <f>VLOOKUP(X205,[24]ölçme_sistemleri!I$1:M$65536,5,FALSE)</f>
        <v>2</v>
      </c>
      <c r="AK205" s="1">
        <f t="shared" si="128"/>
        <v>294</v>
      </c>
      <c r="AL205" s="1">
        <f>(Q205+S205)*AI205</f>
        <v>28</v>
      </c>
      <c r="AM205" s="1">
        <f>VLOOKUP(X205,[24]ölçme_sistemleri!I$1:N$65536,6,FALSE)</f>
        <v>3</v>
      </c>
      <c r="AN205" s="1">
        <v>2</v>
      </c>
      <c r="AO205" s="1">
        <f t="shared" si="129"/>
        <v>6</v>
      </c>
      <c r="AP205" s="1">
        <v>14</v>
      </c>
      <c r="AQ205" s="1">
        <f t="shared" si="145"/>
        <v>56</v>
      </c>
      <c r="AR205" s="1">
        <f t="shared" si="130"/>
        <v>111</v>
      </c>
      <c r="AS205" s="1">
        <f t="shared" si="142"/>
        <v>25</v>
      </c>
      <c r="AT205" s="1">
        <f t="shared" si="131"/>
        <v>4</v>
      </c>
      <c r="AU205" s="1">
        <f t="shared" si="146"/>
        <v>0</v>
      </c>
      <c r="AV205" s="1">
        <f t="shared" si="138"/>
        <v>0</v>
      </c>
      <c r="AW205" s="1">
        <f t="shared" si="139"/>
        <v>0</v>
      </c>
      <c r="AX205" s="1">
        <f t="shared" si="140"/>
        <v>0</v>
      </c>
      <c r="AY205" s="1">
        <f t="shared" si="132"/>
        <v>-21</v>
      </c>
      <c r="AZ205" s="1">
        <f t="shared" si="141"/>
        <v>0</v>
      </c>
      <c r="BA205" s="1">
        <f t="shared" si="133"/>
        <v>-28</v>
      </c>
      <c r="BB205" s="1">
        <f t="shared" si="137"/>
        <v>0</v>
      </c>
      <c r="BC205" s="1">
        <f t="shared" si="134"/>
        <v>-6</v>
      </c>
      <c r="BD205" s="1">
        <f t="shared" si="135"/>
        <v>0</v>
      </c>
      <c r="BE205" s="1" t="s">
        <v>65</v>
      </c>
      <c r="BF205" s="1">
        <f t="shared" si="144"/>
        <v>42</v>
      </c>
      <c r="BG205" s="1">
        <f t="shared" si="143"/>
        <v>42</v>
      </c>
      <c r="BH205" s="1">
        <f t="shared" si="136"/>
        <v>1</v>
      </c>
      <c r="BI205" s="1" t="e">
        <f>IF(BH205-#REF!=0,"DOĞRU","YANLIŞ")</f>
        <v>#REF!</v>
      </c>
      <c r="BJ205" s="1" t="e">
        <f>#REF!-BH205</f>
        <v>#REF!</v>
      </c>
      <c r="BK205" s="1">
        <v>0</v>
      </c>
      <c r="BM205" s="1">
        <v>0</v>
      </c>
      <c r="BO205" s="1">
        <v>2</v>
      </c>
      <c r="BT205" s="8">
        <f t="shared" si="147"/>
        <v>28</v>
      </c>
      <c r="BU205" s="9"/>
      <c r="BV205" s="10"/>
      <c r="BW205" s="11"/>
      <c r="BX205" s="11"/>
      <c r="BY205" s="11"/>
      <c r="BZ205" s="11"/>
      <c r="CA205" s="11"/>
      <c r="CB205" s="12"/>
      <c r="CC205" s="13"/>
      <c r="CD205" s="14"/>
      <c r="CL205" s="11"/>
      <c r="CM205" s="11"/>
      <c r="CN205" s="11"/>
      <c r="CO205" s="11"/>
      <c r="CP205" s="11"/>
      <c r="CQ205" s="54"/>
      <c r="CR205" s="46"/>
      <c r="CS205" s="48"/>
      <c r="CT205" s="48"/>
      <c r="CU205" s="48"/>
      <c r="CV205" s="48"/>
      <c r="CW205" s="49"/>
      <c r="CX205" s="49"/>
    </row>
    <row r="206" spans="1:102" hidden="1" x14ac:dyDescent="0.25">
      <c r="A206" s="7" t="s">
        <v>484</v>
      </c>
      <c r="B206" s="35" t="s">
        <v>485</v>
      </c>
      <c r="C206" s="1" t="s">
        <v>469</v>
      </c>
      <c r="D206" s="2" t="s">
        <v>58</v>
      </c>
      <c r="E206" s="2" t="s">
        <v>58</v>
      </c>
      <c r="F206" s="3" t="e">
        <f>IF(BE206="S",
IF(#REF!+BM206=2018,
IF(#REF!=1,"18-19/1",
IF(#REF!=2,"18-19/2",
IF(#REF!=3,"19-20/1",
IF(#REF!=4,"19-20/2",
IF(#REF!=5,"20-21/1",
IF(#REF!=6,"20-21/2",
IF(#REF!=7,"21-22/1",
IF(#REF!=8,"21-22/2","Hata1")))))))),
IF(#REF!+BM206=2019,
IF(#REF!=1,"19-20/1",
IF(#REF!=2,"19-20/2",
IF(#REF!=3,"20-21/1",
IF(#REF!=4,"20-21/2",
IF(#REF!=5,"21-22/1",
IF(#REF!=6,"21-22/2",
IF(#REF!=7,"22-23/1",
IF(#REF!=8,"22-23/2","Hata2")))))))),
IF(#REF!+BM206=2020,
IF(#REF!=1,"20-21/1",
IF(#REF!=2,"20-21/2",
IF(#REF!=3,"21-22/1",
IF(#REF!=4,"21-22/2",
IF(#REF!=5,"22-23/1",
IF(#REF!=6,"22-23/2",
IF(#REF!=7,"23-24/1",
IF(#REF!=8,"23-24/2","Hata3")))))))),
IF(#REF!+BM206=2021,
IF(#REF!=1,"21-22/1",
IF(#REF!=2,"21-22/2",
IF(#REF!=3,"22-23/1",
IF(#REF!=4,"22-23/2",
IF(#REF!=5,"23-24/1",
IF(#REF!=6,"23-24/2",
IF(#REF!=7,"24-25/1",
IF(#REF!=8,"24-25/2","Hata4")))))))),
IF(#REF!+BM206=2022,
IF(#REF!=1,"22-23/1",
IF(#REF!=2,"22-23/2",
IF(#REF!=3,"23-24/1",
IF(#REF!=4,"23-24/2",
IF(#REF!=5,"24-25/1",
IF(#REF!=6,"24-25/2",
IF(#REF!=7,"25-26/1",
IF(#REF!=8,"25-26/2","Hata5")))))))),
IF(#REF!+BM206=2023,
IF(#REF!=1,"23-24/1",
IF(#REF!=2,"23-24/2",
IF(#REF!=3,"24-25/1",
IF(#REF!=4,"24-25/2",
IF(#REF!=5,"25-26/1",
IF(#REF!=6,"25-26/2",
IF(#REF!=7,"26-27/1",
IF(#REF!=8,"26-27/2","Hata6")))))))),
)))))),
IF(BE206="T",
IF(#REF!+BM206=2018,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6" s="1" t="s">
        <v>141</v>
      </c>
      <c r="J206" s="1">
        <v>4234771</v>
      </c>
      <c r="L206" s="2">
        <v>4587</v>
      </c>
      <c r="N206" s="2">
        <v>4</v>
      </c>
      <c r="O206" s="6">
        <f t="shared" si="122"/>
        <v>2</v>
      </c>
      <c r="P206" s="2">
        <f t="shared" si="123"/>
        <v>2</v>
      </c>
      <c r="Q206" s="2">
        <v>2</v>
      </c>
      <c r="R206" s="2">
        <v>0</v>
      </c>
      <c r="S206" s="2">
        <v>0</v>
      </c>
      <c r="X206" s="3">
        <v>4</v>
      </c>
      <c r="Y206" s="1">
        <f>VLOOKUP($X206,[24]ölçme_sistemleri!I$1:L$65536,2,FALSE)</f>
        <v>0</v>
      </c>
      <c r="Z206" s="1">
        <f>VLOOKUP($X206,[24]ölçme_sistemleri!I$1:L$65536,3,FALSE)</f>
        <v>1</v>
      </c>
      <c r="AA206" s="1">
        <f>VLOOKUP($X206,[24]ölçme_sistemleri!I$1:L$65536,4,FALSE)</f>
        <v>1</v>
      </c>
      <c r="AB206" s="1">
        <f>$O206*[24]ölçme_sistemleri!J$13</f>
        <v>2</v>
      </c>
      <c r="AC206" s="1">
        <f>$O206*[24]ölçme_sistemleri!K$13</f>
        <v>4</v>
      </c>
      <c r="AD206" s="1">
        <f>$O206*[24]ölçme_sistemleri!L$13</f>
        <v>6</v>
      </c>
      <c r="AE206" s="1">
        <f t="shared" si="124"/>
        <v>0</v>
      </c>
      <c r="AF206" s="1">
        <f t="shared" si="125"/>
        <v>4</v>
      </c>
      <c r="AG206" s="1">
        <f t="shared" si="126"/>
        <v>6</v>
      </c>
      <c r="AH206" s="1">
        <f t="shared" si="127"/>
        <v>10</v>
      </c>
      <c r="AI206" s="1">
        <v>14</v>
      </c>
      <c r="AJ206" s="1">
        <f>VLOOKUP(X206,[24]ölçme_sistemleri!I$1:M$65536,5,FALSE)</f>
        <v>1</v>
      </c>
      <c r="AK206" s="1">
        <f t="shared" si="128"/>
        <v>140</v>
      </c>
      <c r="AL206" s="36">
        <f>AI206*4</f>
        <v>56</v>
      </c>
      <c r="AM206" s="1">
        <f>VLOOKUP(X206,[24]ölçme_sistemleri!I$1:N$65536,6,FALSE)</f>
        <v>2</v>
      </c>
      <c r="AN206" s="1">
        <v>2</v>
      </c>
      <c r="AO206" s="1">
        <f t="shared" si="129"/>
        <v>4</v>
      </c>
      <c r="AP206" s="1">
        <v>14</v>
      </c>
      <c r="AQ206" s="1">
        <f t="shared" si="145"/>
        <v>28</v>
      </c>
      <c r="AR206" s="1">
        <f t="shared" si="130"/>
        <v>98</v>
      </c>
      <c r="AS206" s="1">
        <f t="shared" si="142"/>
        <v>25</v>
      </c>
      <c r="AT206" s="1">
        <f t="shared" si="131"/>
        <v>4</v>
      </c>
      <c r="AU206" s="1">
        <f t="shared" si="146"/>
        <v>0</v>
      </c>
      <c r="AV206" s="1">
        <f t="shared" si="138"/>
        <v>0</v>
      </c>
      <c r="AW206" s="1">
        <f t="shared" si="139"/>
        <v>0</v>
      </c>
      <c r="AX206" s="1">
        <f t="shared" si="140"/>
        <v>0</v>
      </c>
      <c r="AY206" s="1">
        <f t="shared" si="132"/>
        <v>-10</v>
      </c>
      <c r="AZ206" s="1">
        <f t="shared" si="141"/>
        <v>0</v>
      </c>
      <c r="BA206" s="1">
        <f t="shared" si="133"/>
        <v>-56</v>
      </c>
      <c r="BB206" s="1">
        <f t="shared" si="137"/>
        <v>0</v>
      </c>
      <c r="BC206" s="1">
        <f t="shared" si="134"/>
        <v>-4</v>
      </c>
      <c r="BD206" s="1">
        <f t="shared" si="135"/>
        <v>0</v>
      </c>
      <c r="BE206" s="1" t="s">
        <v>65</v>
      </c>
      <c r="BF206" s="1">
        <f t="shared" si="144"/>
        <v>28</v>
      </c>
      <c r="BG206" s="1">
        <f t="shared" si="143"/>
        <v>28</v>
      </c>
      <c r="BH206" s="1">
        <f t="shared" si="136"/>
        <v>1</v>
      </c>
      <c r="BI206" s="1" t="e">
        <f>IF(BH206-#REF!=0,"DOĞRU","YANLIŞ")</f>
        <v>#REF!</v>
      </c>
      <c r="BJ206" s="1" t="e">
        <f>#REF!-BH206</f>
        <v>#REF!</v>
      </c>
      <c r="BK206" s="1">
        <v>0</v>
      </c>
      <c r="BM206" s="1">
        <v>0</v>
      </c>
      <c r="BO206" s="1">
        <v>2</v>
      </c>
      <c r="BT206" s="8">
        <f t="shared" si="147"/>
        <v>0</v>
      </c>
      <c r="BU206" s="9"/>
      <c r="BV206" s="10"/>
      <c r="BW206" s="11"/>
      <c r="BX206" s="11"/>
      <c r="BY206" s="11"/>
      <c r="BZ206" s="11"/>
      <c r="CA206" s="11"/>
      <c r="CB206" s="12"/>
      <c r="CC206" s="13"/>
      <c r="CD206" s="14"/>
      <c r="CL206" s="11"/>
      <c r="CM206" s="11"/>
      <c r="CN206" s="11"/>
      <c r="CO206" s="11"/>
      <c r="CP206" s="11"/>
      <c r="CQ206" s="54"/>
      <c r="CR206" s="46"/>
      <c r="CS206" s="48"/>
      <c r="CT206" s="48"/>
      <c r="CU206" s="48"/>
      <c r="CV206" s="48"/>
      <c r="CW206" s="49"/>
      <c r="CX206" s="49"/>
    </row>
    <row r="207" spans="1:102" hidden="1" x14ac:dyDescent="0.25">
      <c r="A207" s="7" t="s">
        <v>129</v>
      </c>
      <c r="B207" s="7" t="s">
        <v>130</v>
      </c>
      <c r="C207" s="1" t="s">
        <v>130</v>
      </c>
      <c r="D207" s="2" t="s">
        <v>63</v>
      </c>
      <c r="E207" s="2" t="s">
        <v>63</v>
      </c>
      <c r="F207" s="3" t="e">
        <f>IF(BE207="S",
IF(#REF!+BM207=2018,
IF(#REF!=1,"18-19/1",
IF(#REF!=2,"18-19/2",
IF(#REF!=3,"19-20/1",
IF(#REF!=4,"19-20/2",
IF(#REF!=5,"20-21/1",
IF(#REF!=6,"20-21/2",
IF(#REF!=7,"21-22/1",
IF(#REF!=8,"21-22/2","Hata1")))))))),
IF(#REF!+BM207=2019,
IF(#REF!=1,"19-20/1",
IF(#REF!=2,"19-20/2",
IF(#REF!=3,"20-21/1",
IF(#REF!=4,"20-21/2",
IF(#REF!=5,"21-22/1",
IF(#REF!=6,"21-22/2",
IF(#REF!=7,"22-23/1",
IF(#REF!=8,"22-23/2","Hata2")))))))),
IF(#REF!+BM207=2020,
IF(#REF!=1,"20-21/1",
IF(#REF!=2,"20-21/2",
IF(#REF!=3,"21-22/1",
IF(#REF!=4,"21-22/2",
IF(#REF!=5,"22-23/1",
IF(#REF!=6,"22-23/2",
IF(#REF!=7,"23-24/1",
IF(#REF!=8,"23-24/2","Hata3")))))))),
IF(#REF!+BM207=2021,
IF(#REF!=1,"21-22/1",
IF(#REF!=2,"21-22/2",
IF(#REF!=3,"22-23/1",
IF(#REF!=4,"22-23/2",
IF(#REF!=5,"23-24/1",
IF(#REF!=6,"23-24/2",
IF(#REF!=7,"24-25/1",
IF(#REF!=8,"24-25/2","Hata4")))))))),
IF(#REF!+BM207=2022,
IF(#REF!=1,"22-23/1",
IF(#REF!=2,"22-23/2",
IF(#REF!=3,"23-24/1",
IF(#REF!=4,"23-24/2",
IF(#REF!=5,"24-25/1",
IF(#REF!=6,"24-25/2",
IF(#REF!=7,"25-26/1",
IF(#REF!=8,"25-26/2","Hata5")))))))),
IF(#REF!+BM207=2023,
IF(#REF!=1,"23-24/1",
IF(#REF!=2,"23-24/2",
IF(#REF!=3,"24-25/1",
IF(#REF!=4,"24-25/2",
IF(#REF!=5,"25-26/1",
IF(#REF!=6,"25-26/2",
IF(#REF!=7,"26-27/1",
IF(#REF!=8,"26-27/2","Hata6")))))))),
)))))),
IF(BE207="T",
IF(#REF!+BM207=2018,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7" s="1" t="s">
        <v>141</v>
      </c>
      <c r="J207" s="1">
        <v>4234771</v>
      </c>
      <c r="L207" s="2">
        <v>3397</v>
      </c>
      <c r="N207" s="2">
        <v>4</v>
      </c>
      <c r="O207" s="6">
        <f t="shared" si="122"/>
        <v>3</v>
      </c>
      <c r="P207" s="2">
        <f t="shared" si="123"/>
        <v>3</v>
      </c>
      <c r="Q207" s="2">
        <v>0</v>
      </c>
      <c r="R207" s="2">
        <v>0</v>
      </c>
      <c r="S207" s="2">
        <v>3</v>
      </c>
      <c r="X207" s="3">
        <v>2</v>
      </c>
      <c r="Y207" s="1">
        <f>VLOOKUP($X207,[24]ölçme_sistemleri!I$1:L$65536,2,FALSE)</f>
        <v>0</v>
      </c>
      <c r="Z207" s="1">
        <f>VLOOKUP($X207,[24]ölçme_sistemleri!I$1:L$65536,3,FALSE)</f>
        <v>2</v>
      </c>
      <c r="AA207" s="1">
        <f>VLOOKUP($X207,[24]ölçme_sistemleri!I$1:L$65536,4,FALSE)</f>
        <v>1</v>
      </c>
      <c r="AB207" s="1">
        <f>$O207*[24]ölçme_sistemleri!J$13</f>
        <v>3</v>
      </c>
      <c r="AC207" s="1">
        <f>$O207*[24]ölçme_sistemleri!K$13</f>
        <v>6</v>
      </c>
      <c r="AD207" s="1">
        <f>$O207*[24]ölçme_sistemleri!L$13</f>
        <v>9</v>
      </c>
      <c r="AE207" s="1">
        <f t="shared" si="124"/>
        <v>0</v>
      </c>
      <c r="AF207" s="1">
        <f t="shared" si="125"/>
        <v>12</v>
      </c>
      <c r="AG207" s="1">
        <f t="shared" si="126"/>
        <v>9</v>
      </c>
      <c r="AH207" s="1">
        <f t="shared" si="127"/>
        <v>21</v>
      </c>
      <c r="AI207" s="1">
        <v>14</v>
      </c>
      <c r="AJ207" s="1">
        <f>VLOOKUP(X207,[24]ölçme_sistemleri!I$1:M$65536,5,FALSE)</f>
        <v>2</v>
      </c>
      <c r="AK207" s="1">
        <f t="shared" si="128"/>
        <v>294</v>
      </c>
      <c r="AL207" s="1">
        <f>(Q207+S207)*AI207</f>
        <v>42</v>
      </c>
      <c r="AM207" s="1">
        <f>VLOOKUP(X207,[24]ölçme_sistemleri!I$1:N$65536,6,FALSE)</f>
        <v>3</v>
      </c>
      <c r="AN207" s="1">
        <v>2</v>
      </c>
      <c r="AO207" s="1">
        <f t="shared" si="129"/>
        <v>6</v>
      </c>
      <c r="AP207" s="1">
        <v>14</v>
      </c>
      <c r="AQ207" s="1">
        <f t="shared" si="145"/>
        <v>42</v>
      </c>
      <c r="AR207" s="1">
        <f t="shared" si="130"/>
        <v>111</v>
      </c>
      <c r="AS207" s="1">
        <f t="shared" si="142"/>
        <v>25</v>
      </c>
      <c r="AT207" s="1">
        <f t="shared" si="131"/>
        <v>4</v>
      </c>
      <c r="AU207" s="1">
        <f t="shared" si="146"/>
        <v>0</v>
      </c>
      <c r="AV207" s="1">
        <f t="shared" si="138"/>
        <v>0</v>
      </c>
      <c r="AW207" s="1">
        <f t="shared" si="139"/>
        <v>0</v>
      </c>
      <c r="AX207" s="1">
        <f t="shared" si="140"/>
        <v>0</v>
      </c>
      <c r="AY207" s="1">
        <f t="shared" si="132"/>
        <v>-21</v>
      </c>
      <c r="AZ207" s="1">
        <f t="shared" si="141"/>
        <v>0</v>
      </c>
      <c r="BA207" s="1">
        <f t="shared" si="133"/>
        <v>-42</v>
      </c>
      <c r="BB207" s="1">
        <f t="shared" si="137"/>
        <v>0</v>
      </c>
      <c r="BC207" s="1">
        <f t="shared" si="134"/>
        <v>-6</v>
      </c>
      <c r="BD207" s="1">
        <f t="shared" si="135"/>
        <v>0</v>
      </c>
      <c r="BE207" s="1" t="s">
        <v>65</v>
      </c>
      <c r="BF207" s="1">
        <f t="shared" si="144"/>
        <v>42</v>
      </c>
      <c r="BG207" s="1">
        <f t="shared" si="143"/>
        <v>42</v>
      </c>
      <c r="BH207" s="1">
        <f t="shared" si="136"/>
        <v>1</v>
      </c>
      <c r="BI207" s="1" t="e">
        <f>IF(BH207-#REF!=0,"DOĞRU","YANLIŞ")</f>
        <v>#REF!</v>
      </c>
      <c r="BJ207" s="1" t="e">
        <f>#REF!-BH207</f>
        <v>#REF!</v>
      </c>
      <c r="BK207" s="1">
        <v>0</v>
      </c>
      <c r="BM207" s="1">
        <v>0</v>
      </c>
      <c r="BO207" s="1">
        <v>2</v>
      </c>
      <c r="BT207" s="8">
        <f t="shared" si="147"/>
        <v>0</v>
      </c>
      <c r="BU207" s="9"/>
      <c r="BV207" s="10"/>
      <c r="BW207" s="11"/>
      <c r="BX207" s="11"/>
      <c r="BY207" s="11"/>
      <c r="BZ207" s="11"/>
      <c r="CA207" s="11"/>
      <c r="CB207" s="12"/>
      <c r="CC207" s="13"/>
      <c r="CD207" s="14"/>
      <c r="CL207" s="11"/>
      <c r="CM207" s="11"/>
      <c r="CN207" s="11"/>
      <c r="CO207" s="11"/>
      <c r="CP207" s="11"/>
      <c r="CQ207" s="49"/>
      <c r="CR207" s="46"/>
      <c r="CS207" s="48"/>
      <c r="CT207" s="48"/>
      <c r="CU207" s="48"/>
      <c r="CV207" s="48"/>
      <c r="CW207" s="49"/>
      <c r="CX207" s="49"/>
    </row>
    <row r="208" spans="1:102" hidden="1" x14ac:dyDescent="0.25">
      <c r="A208" s="1" t="s">
        <v>97</v>
      </c>
      <c r="B208" s="1" t="s">
        <v>98</v>
      </c>
      <c r="C208" s="1" t="s">
        <v>98</v>
      </c>
      <c r="D208" s="2" t="s">
        <v>63</v>
      </c>
      <c r="E208" s="2" t="s">
        <v>63</v>
      </c>
      <c r="F208" s="3" t="e">
        <f>IF(BE208="S",
IF(#REF!+BM208=2018,
IF(#REF!=1,"18-19/1",
IF(#REF!=2,"18-19/2",
IF(#REF!=3,"19-20/1",
IF(#REF!=4,"19-20/2",
IF(#REF!=5,"20-21/1",
IF(#REF!=6,"20-21/2",
IF(#REF!=7,"21-22/1",
IF(#REF!=8,"21-22/2","Hata1")))))))),
IF(#REF!+BM208=2019,
IF(#REF!=1,"19-20/1",
IF(#REF!=2,"19-20/2",
IF(#REF!=3,"20-21/1",
IF(#REF!=4,"20-21/2",
IF(#REF!=5,"21-22/1",
IF(#REF!=6,"21-22/2",
IF(#REF!=7,"22-23/1",
IF(#REF!=8,"22-23/2","Hata2")))))))),
IF(#REF!+BM208=2020,
IF(#REF!=1,"20-21/1",
IF(#REF!=2,"20-21/2",
IF(#REF!=3,"21-22/1",
IF(#REF!=4,"21-22/2",
IF(#REF!=5,"22-23/1",
IF(#REF!=6,"22-23/2",
IF(#REF!=7,"23-24/1",
IF(#REF!=8,"23-24/2","Hata3")))))))),
IF(#REF!+BM208=2021,
IF(#REF!=1,"21-22/1",
IF(#REF!=2,"21-22/2",
IF(#REF!=3,"22-23/1",
IF(#REF!=4,"22-23/2",
IF(#REF!=5,"23-24/1",
IF(#REF!=6,"23-24/2",
IF(#REF!=7,"24-25/1",
IF(#REF!=8,"24-25/2","Hata4")))))))),
IF(#REF!+BM208=2022,
IF(#REF!=1,"22-23/1",
IF(#REF!=2,"22-23/2",
IF(#REF!=3,"23-24/1",
IF(#REF!=4,"23-24/2",
IF(#REF!=5,"24-25/1",
IF(#REF!=6,"24-25/2",
IF(#REF!=7,"25-26/1",
IF(#REF!=8,"25-26/2","Hata5")))))))),
IF(#REF!+BM208=2023,
IF(#REF!=1,"23-24/1",
IF(#REF!=2,"23-24/2",
IF(#REF!=3,"24-25/1",
IF(#REF!=4,"24-25/2",
IF(#REF!=5,"25-26/1",
IF(#REF!=6,"25-26/2",
IF(#REF!=7,"26-27/1",
IF(#REF!=8,"26-27/2","Hata6")))))))),
)))))),
IF(BE208="T",
IF(#REF!+BM208=2018,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8" s="7" t="s">
        <v>145</v>
      </c>
      <c r="J208" s="1">
        <v>4234778</v>
      </c>
      <c r="L208" s="2">
        <v>196</v>
      </c>
      <c r="N208" s="2">
        <v>4</v>
      </c>
      <c r="O208" s="6">
        <f t="shared" si="122"/>
        <v>3</v>
      </c>
      <c r="P208" s="2">
        <f t="shared" si="123"/>
        <v>3</v>
      </c>
      <c r="Q208" s="2">
        <v>3</v>
      </c>
      <c r="R208" s="2">
        <v>0</v>
      </c>
      <c r="S208" s="2">
        <v>0</v>
      </c>
      <c r="X208" s="3">
        <v>2</v>
      </c>
      <c r="Y208" s="1">
        <f>VLOOKUP($X208,[26]ölçme_sistemleri!I:L,2,FALSE)</f>
        <v>0</v>
      </c>
      <c r="Z208" s="1">
        <f>VLOOKUP($X208,[26]ölçme_sistemleri!I:L,3,FALSE)</f>
        <v>2</v>
      </c>
      <c r="AA208" s="1">
        <f>VLOOKUP($X208,[26]ölçme_sistemleri!I:L,4,FALSE)</f>
        <v>1</v>
      </c>
      <c r="AB208" s="1">
        <f>$O208*[26]ölçme_sistemleri!J$13</f>
        <v>3</v>
      </c>
      <c r="AC208" s="1">
        <f>$O208*[26]ölçme_sistemleri!K$13</f>
        <v>6</v>
      </c>
      <c r="AD208" s="1">
        <f>$O208*[26]ölçme_sistemleri!L$13</f>
        <v>9</v>
      </c>
      <c r="AE208" s="1">
        <f t="shared" si="124"/>
        <v>0</v>
      </c>
      <c r="AF208" s="1">
        <f t="shared" si="125"/>
        <v>12</v>
      </c>
      <c r="AG208" s="1">
        <f t="shared" si="126"/>
        <v>9</v>
      </c>
      <c r="AH208" s="1">
        <f t="shared" si="127"/>
        <v>21</v>
      </c>
      <c r="AI208" s="1">
        <v>14</v>
      </c>
      <c r="AJ208" s="1">
        <f>VLOOKUP(X208,[26]ölçme_sistemleri!I:M,5,FALSE)</f>
        <v>2</v>
      </c>
      <c r="AK208" s="1">
        <f t="shared" si="128"/>
        <v>294</v>
      </c>
      <c r="AL208" s="1">
        <f>(Q208+S208)*AI208</f>
        <v>42</v>
      </c>
      <c r="AM208" s="1">
        <f>VLOOKUP(X208,[26]ölçme_sistemleri!I:N,6,FALSE)</f>
        <v>3</v>
      </c>
      <c r="AN208" s="1">
        <v>2</v>
      </c>
      <c r="AO208" s="1">
        <f t="shared" si="129"/>
        <v>6</v>
      </c>
      <c r="AP208" s="1">
        <v>14</v>
      </c>
      <c r="AQ208" s="1">
        <f t="shared" si="145"/>
        <v>42</v>
      </c>
      <c r="AR208" s="1">
        <f t="shared" si="130"/>
        <v>111</v>
      </c>
      <c r="AS208" s="1">
        <f>IF(BE208="s",25,25)</f>
        <v>25</v>
      </c>
      <c r="AT208" s="1">
        <f t="shared" si="131"/>
        <v>4</v>
      </c>
      <c r="AU208" s="1">
        <f t="shared" si="146"/>
        <v>0</v>
      </c>
      <c r="AV208" s="1">
        <f t="shared" si="138"/>
        <v>0</v>
      </c>
      <c r="AW208" s="1">
        <f t="shared" si="139"/>
        <v>0</v>
      </c>
      <c r="AX208" s="1">
        <f t="shared" si="140"/>
        <v>0</v>
      </c>
      <c r="AY208" s="1">
        <f t="shared" si="132"/>
        <v>-21</v>
      </c>
      <c r="AZ208" s="1">
        <f t="shared" si="141"/>
        <v>0</v>
      </c>
      <c r="BA208" s="1">
        <f t="shared" si="133"/>
        <v>-42</v>
      </c>
      <c r="BB208" s="1">
        <f t="shared" si="137"/>
        <v>0</v>
      </c>
      <c r="BC208" s="1">
        <f t="shared" si="134"/>
        <v>-6</v>
      </c>
      <c r="BD208" s="1">
        <f t="shared" si="135"/>
        <v>0</v>
      </c>
      <c r="BE208" s="1" t="s">
        <v>65</v>
      </c>
      <c r="BF208" s="1">
        <f t="shared" si="144"/>
        <v>42</v>
      </c>
      <c r="BG208" s="1">
        <f t="shared" si="143"/>
        <v>42</v>
      </c>
      <c r="BH208" s="1">
        <f t="shared" si="136"/>
        <v>1</v>
      </c>
      <c r="BI208" s="1" t="e">
        <f>IF(BH208-#REF!=0,"DOĞRU","YANLIŞ")</f>
        <v>#REF!</v>
      </c>
      <c r="BJ208" s="1" t="e">
        <f>#REF!-BH208</f>
        <v>#REF!</v>
      </c>
      <c r="BK208" s="1">
        <v>0</v>
      </c>
      <c r="BM208" s="1">
        <v>0</v>
      </c>
      <c r="BO208" s="1">
        <v>6</v>
      </c>
      <c r="BT208" s="8">
        <f t="shared" si="147"/>
        <v>0</v>
      </c>
      <c r="BU208" s="9"/>
      <c r="BV208" s="10"/>
      <c r="BW208" s="11"/>
      <c r="BX208" s="11"/>
      <c r="BY208" s="11"/>
      <c r="BZ208" s="11"/>
      <c r="CA208" s="11"/>
      <c r="CB208" s="12"/>
      <c r="CC208" s="13"/>
      <c r="CD208" s="14"/>
      <c r="CL208" s="11"/>
      <c r="CM208" s="11"/>
      <c r="CN208" s="11"/>
      <c r="CO208" s="11"/>
      <c r="CP208" s="11"/>
      <c r="CQ208" s="49"/>
      <c r="CR208" s="46"/>
      <c r="CS208" s="49"/>
      <c r="CT208" s="48"/>
      <c r="CU208" s="49"/>
      <c r="CV208" s="48"/>
      <c r="CW208" s="49"/>
      <c r="CX208" s="49"/>
    </row>
    <row r="209" spans="1:102" hidden="1" x14ac:dyDescent="0.25">
      <c r="A209" s="1" t="s">
        <v>244</v>
      </c>
      <c r="B209" s="1" t="s">
        <v>221</v>
      </c>
      <c r="C209" s="1" t="s">
        <v>221</v>
      </c>
      <c r="D209" s="2" t="s">
        <v>63</v>
      </c>
      <c r="E209" s="2" t="s">
        <v>63</v>
      </c>
      <c r="F209" s="3" t="e">
        <f>IF(BE209="S",
IF(#REF!+BM209=2018,
IF(#REF!=1,"18-19/1",
IF(#REF!=2,"18-19/2",
IF(#REF!=3,"19-20/1",
IF(#REF!=4,"19-20/2",
IF(#REF!=5,"20-21/1",
IF(#REF!=6,"20-21/2",
IF(#REF!=7,"21-22/1",
IF(#REF!=8,"21-22/2","Hata1")))))))),
IF(#REF!+BM209=2019,
IF(#REF!=1,"19-20/1",
IF(#REF!=2,"19-20/2",
IF(#REF!=3,"20-21/1",
IF(#REF!=4,"20-21/2",
IF(#REF!=5,"21-22/1",
IF(#REF!=6,"21-22/2",
IF(#REF!=7,"22-23/1",
IF(#REF!=8,"22-23/2","Hata2")))))))),
IF(#REF!+BM209=2020,
IF(#REF!=1,"20-21/1",
IF(#REF!=2,"20-21/2",
IF(#REF!=3,"21-22/1",
IF(#REF!=4,"21-22/2",
IF(#REF!=5,"22-23/1",
IF(#REF!=6,"22-23/2",
IF(#REF!=7,"23-24/1",
IF(#REF!=8,"23-24/2","Hata3")))))))),
IF(#REF!+BM209=2021,
IF(#REF!=1,"21-22/1",
IF(#REF!=2,"21-22/2",
IF(#REF!=3,"22-23/1",
IF(#REF!=4,"22-23/2",
IF(#REF!=5,"23-24/1",
IF(#REF!=6,"23-24/2",
IF(#REF!=7,"24-25/1",
IF(#REF!=8,"24-25/2","Hata4")))))))),
IF(#REF!+BM209=2022,
IF(#REF!=1,"22-23/1",
IF(#REF!=2,"22-23/2",
IF(#REF!=3,"23-24/1",
IF(#REF!=4,"23-24/2",
IF(#REF!=5,"24-25/1",
IF(#REF!=6,"24-25/2",
IF(#REF!=7,"25-26/1",
IF(#REF!=8,"25-26/2","Hata5")))))))),
IF(#REF!+BM209=2023,
IF(#REF!=1,"23-24/1",
IF(#REF!=2,"23-24/2",
IF(#REF!=3,"24-25/1",
IF(#REF!=4,"24-25/2",
IF(#REF!=5,"25-26/1",
IF(#REF!=6,"25-26/2",
IF(#REF!=7,"26-27/1",
IF(#REF!=8,"26-27/2","Hata6")))))))),
)))))),
IF(BE209="T",
IF(#REF!+BM209=2018,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IF(#REF!+BM209=2019,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IF(#REF!+BM209=2020,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IF(#REF!+BM209=2021,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IF(#REF!+BM209=2022,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IF(#REF!+BM209=2023,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09" s="1" t="s">
        <v>145</v>
      </c>
      <c r="J209" s="1">
        <v>4234778</v>
      </c>
      <c r="L209" s="2">
        <v>3494</v>
      </c>
      <c r="N209" s="2">
        <v>3</v>
      </c>
      <c r="O209" s="6">
        <f t="shared" si="122"/>
        <v>3</v>
      </c>
      <c r="P209" s="2">
        <f t="shared" si="123"/>
        <v>3</v>
      </c>
      <c r="Q209" s="2">
        <v>0</v>
      </c>
      <c r="R209" s="2">
        <v>0</v>
      </c>
      <c r="S209" s="2">
        <v>3</v>
      </c>
      <c r="X209" s="3">
        <v>4</v>
      </c>
      <c r="Y209" s="1">
        <f>VLOOKUP($X209,[26]ölçme_sistemleri!I:L,2,FALSE)</f>
        <v>0</v>
      </c>
      <c r="Z209" s="1">
        <f>VLOOKUP($X209,[26]ölçme_sistemleri!I:L,3,FALSE)</f>
        <v>1</v>
      </c>
      <c r="AA209" s="1">
        <f>VLOOKUP($X209,[26]ölçme_sistemleri!I:L,4,FALSE)</f>
        <v>1</v>
      </c>
      <c r="AB209" s="1">
        <f>$O209*[26]ölçme_sistemleri!J$13</f>
        <v>3</v>
      </c>
      <c r="AC209" s="1">
        <f>$O209*[26]ölçme_sistemleri!K$13</f>
        <v>6</v>
      </c>
      <c r="AD209" s="1">
        <f>$O209*[26]ölçme_sistemleri!L$13</f>
        <v>9</v>
      </c>
      <c r="AE209" s="1">
        <f t="shared" si="124"/>
        <v>0</v>
      </c>
      <c r="AF209" s="1">
        <f t="shared" si="125"/>
        <v>6</v>
      </c>
      <c r="AG209" s="1">
        <f t="shared" si="126"/>
        <v>9</v>
      </c>
      <c r="AH209" s="1">
        <f t="shared" si="127"/>
        <v>15</v>
      </c>
      <c r="AI209" s="1">
        <v>14</v>
      </c>
      <c r="AJ209" s="1">
        <f>VLOOKUP(X209,[26]ölçme_sistemleri!I:M,5,FALSE)</f>
        <v>1</v>
      </c>
      <c r="AK209" s="1">
        <f t="shared" si="128"/>
        <v>210</v>
      </c>
      <c r="AL209" s="1">
        <f>AI209*1</f>
        <v>14</v>
      </c>
      <c r="AM209" s="1">
        <f>VLOOKUP(X209,[26]ölçme_sistemleri!I:N,6,FALSE)</f>
        <v>2</v>
      </c>
      <c r="AN209" s="1">
        <v>2</v>
      </c>
      <c r="AO209" s="1">
        <f t="shared" si="129"/>
        <v>4</v>
      </c>
      <c r="AP209" s="1">
        <v>14</v>
      </c>
      <c r="AQ209" s="1">
        <f t="shared" si="145"/>
        <v>42</v>
      </c>
      <c r="AR209" s="1">
        <f t="shared" si="130"/>
        <v>75</v>
      </c>
      <c r="AS209" s="1">
        <f>IF(BE209="s",25,25)</f>
        <v>25</v>
      </c>
      <c r="AT209" s="1">
        <f t="shared" si="131"/>
        <v>3</v>
      </c>
      <c r="AU209" s="1">
        <f t="shared" si="146"/>
        <v>0</v>
      </c>
      <c r="AV209" s="1">
        <f t="shared" si="138"/>
        <v>0</v>
      </c>
      <c r="AW209" s="1">
        <f t="shared" si="139"/>
        <v>0</v>
      </c>
      <c r="AX209" s="1">
        <f t="shared" si="140"/>
        <v>0</v>
      </c>
      <c r="AY209" s="1">
        <f t="shared" si="132"/>
        <v>-15</v>
      </c>
      <c r="AZ209" s="1">
        <f t="shared" si="141"/>
        <v>0</v>
      </c>
      <c r="BA209" s="1">
        <f t="shared" si="133"/>
        <v>-14</v>
      </c>
      <c r="BB209" s="1">
        <f t="shared" si="137"/>
        <v>0</v>
      </c>
      <c r="BC209" s="1">
        <f t="shared" si="134"/>
        <v>-4</v>
      </c>
      <c r="BD209" s="1">
        <f t="shared" si="135"/>
        <v>0</v>
      </c>
      <c r="BE209" s="1" t="s">
        <v>65</v>
      </c>
      <c r="BF209" s="1">
        <f t="shared" si="144"/>
        <v>42</v>
      </c>
      <c r="BG209" s="1">
        <f t="shared" si="143"/>
        <v>42</v>
      </c>
      <c r="BH209" s="1">
        <f t="shared" si="136"/>
        <v>1</v>
      </c>
      <c r="BI209" s="1" t="e">
        <f>IF(BH209-#REF!=0,"DOĞRU","YANLIŞ")</f>
        <v>#REF!</v>
      </c>
      <c r="BJ209" s="1" t="e">
        <f>#REF!-BH209</f>
        <v>#REF!</v>
      </c>
      <c r="BK209" s="1">
        <v>0</v>
      </c>
      <c r="BM209" s="1">
        <v>0</v>
      </c>
      <c r="BO209" s="1">
        <v>4</v>
      </c>
      <c r="BT209" s="8">
        <f t="shared" si="147"/>
        <v>0</v>
      </c>
      <c r="BU209" s="9"/>
      <c r="BV209" s="10"/>
      <c r="BW209" s="11"/>
      <c r="BX209" s="11"/>
      <c r="BY209" s="11"/>
      <c r="BZ209" s="11"/>
      <c r="CA209" s="11"/>
      <c r="CB209" s="12"/>
      <c r="CC209" s="13"/>
      <c r="CD209" s="14"/>
      <c r="CL209" s="11"/>
      <c r="CM209" s="11"/>
      <c r="CN209" s="11"/>
      <c r="CO209" s="11"/>
      <c r="CP209" s="11"/>
      <c r="CQ209" s="49"/>
      <c r="CR209" s="46"/>
      <c r="CS209" s="49"/>
      <c r="CT209" s="48"/>
      <c r="CU209" s="49"/>
      <c r="CV209" s="48"/>
      <c r="CW209" s="49"/>
      <c r="CX209" s="49"/>
    </row>
    <row r="210" spans="1:102" hidden="1" x14ac:dyDescent="0.25">
      <c r="A210" s="1" t="s">
        <v>260</v>
      </c>
      <c r="B210" s="1" t="s">
        <v>261</v>
      </c>
      <c r="C210" s="1" t="s">
        <v>261</v>
      </c>
      <c r="D210" s="2" t="s">
        <v>63</v>
      </c>
      <c r="E210" s="2" t="s">
        <v>63</v>
      </c>
      <c r="F210" s="3" t="e">
        <f>IF(BE210="S",
IF(#REF!+BM210=2018,
IF(#REF!=1,"18-19/1",
IF(#REF!=2,"18-19/2",
IF(#REF!=3,"19-20/1",
IF(#REF!=4,"19-20/2",
IF(#REF!=5,"20-21/1",
IF(#REF!=6,"20-21/2",
IF(#REF!=7,"21-22/1",
IF(#REF!=8,"21-22/2","Hata1")))))))),
IF(#REF!+BM210=2019,
IF(#REF!=1,"19-20/1",
IF(#REF!=2,"19-20/2",
IF(#REF!=3,"20-21/1",
IF(#REF!=4,"20-21/2",
IF(#REF!=5,"21-22/1",
IF(#REF!=6,"21-22/2",
IF(#REF!=7,"22-23/1",
IF(#REF!=8,"22-23/2","Hata2")))))))),
IF(#REF!+BM210=2020,
IF(#REF!=1,"20-21/1",
IF(#REF!=2,"20-21/2",
IF(#REF!=3,"21-22/1",
IF(#REF!=4,"21-22/2",
IF(#REF!=5,"22-23/1",
IF(#REF!=6,"22-23/2",
IF(#REF!=7,"23-24/1",
IF(#REF!=8,"23-24/2","Hata3")))))))),
IF(#REF!+BM210=2021,
IF(#REF!=1,"21-22/1",
IF(#REF!=2,"21-22/2",
IF(#REF!=3,"22-23/1",
IF(#REF!=4,"22-23/2",
IF(#REF!=5,"23-24/1",
IF(#REF!=6,"23-24/2",
IF(#REF!=7,"24-25/1",
IF(#REF!=8,"24-25/2","Hata4")))))))),
IF(#REF!+BM210=2022,
IF(#REF!=1,"22-23/1",
IF(#REF!=2,"22-23/2",
IF(#REF!=3,"23-24/1",
IF(#REF!=4,"23-24/2",
IF(#REF!=5,"24-25/1",
IF(#REF!=6,"24-25/2",
IF(#REF!=7,"25-26/1",
IF(#REF!=8,"25-26/2","Hata5")))))))),
IF(#REF!+BM210=2023,
IF(#REF!=1,"23-24/1",
IF(#REF!=2,"23-24/2",
IF(#REF!=3,"24-25/1",
IF(#REF!=4,"24-25/2",
IF(#REF!=5,"25-26/1",
IF(#REF!=6,"25-26/2",
IF(#REF!=7,"26-27/1",
IF(#REF!=8,"26-27/2","Hata6")))))))),
)))))),
IF(BE210="T",
IF(#REF!+BM210=2018,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IF(#REF!+BM210=2019,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IF(#REF!+BM210=2020,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IF(#REF!+BM210=2021,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IF(#REF!+BM210=2022,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IF(#REF!+BM210=2023,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10" s="1" t="s">
        <v>145</v>
      </c>
      <c r="J210" s="1">
        <v>4234778</v>
      </c>
      <c r="L210" s="2">
        <v>3550</v>
      </c>
      <c r="N210" s="2">
        <v>4</v>
      </c>
      <c r="O210" s="6">
        <f t="shared" si="122"/>
        <v>3</v>
      </c>
      <c r="P210" s="2">
        <f t="shared" si="123"/>
        <v>3</v>
      </c>
      <c r="Q210" s="2">
        <v>3</v>
      </c>
      <c r="R210" s="2">
        <v>0</v>
      </c>
      <c r="S210" s="2">
        <v>0</v>
      </c>
      <c r="X210" s="3">
        <v>2</v>
      </c>
      <c r="Y210" s="1">
        <f>VLOOKUP($X210,[27]ölçme_sistemleri!I:L,2,FALSE)</f>
        <v>0</v>
      </c>
      <c r="Z210" s="1">
        <f>VLOOKUP($X210,[27]ölçme_sistemleri!I:L,3,FALSE)</f>
        <v>2</v>
      </c>
      <c r="AA210" s="1">
        <f>VLOOKUP($X210,[27]ölçme_sistemleri!I:L,4,FALSE)</f>
        <v>1</v>
      </c>
      <c r="AB210" s="1">
        <f>$O210*[27]ölçme_sistemleri!J$13</f>
        <v>3</v>
      </c>
      <c r="AC210" s="1">
        <f>$O210*[27]ölçme_sistemleri!K$13</f>
        <v>6</v>
      </c>
      <c r="AD210" s="1">
        <f>$O210*[27]ölçme_sistemleri!L$13</f>
        <v>9</v>
      </c>
      <c r="AE210" s="1">
        <f t="shared" si="124"/>
        <v>0</v>
      </c>
      <c r="AF210" s="1">
        <f t="shared" si="125"/>
        <v>12</v>
      </c>
      <c r="AG210" s="1">
        <f t="shared" si="126"/>
        <v>9</v>
      </c>
      <c r="AH210" s="1">
        <f t="shared" si="127"/>
        <v>21</v>
      </c>
      <c r="AI210" s="1">
        <v>14</v>
      </c>
      <c r="AJ210" s="1">
        <f>VLOOKUP(X210,[27]ölçme_sistemleri!I:M,5,FALSE)</f>
        <v>2</v>
      </c>
      <c r="AK210" s="1">
        <f t="shared" si="128"/>
        <v>294</v>
      </c>
      <c r="AL210" s="1">
        <f>(Q210+S210)*AI210</f>
        <v>42</v>
      </c>
      <c r="AM210" s="1">
        <f>VLOOKUP(X210,[27]ölçme_sistemleri!I:N,6,FALSE)</f>
        <v>3</v>
      </c>
      <c r="AN210" s="1">
        <v>2</v>
      </c>
      <c r="AO210" s="1">
        <f t="shared" si="129"/>
        <v>6</v>
      </c>
      <c r="AP210" s="1">
        <v>14</v>
      </c>
      <c r="AQ210" s="1">
        <f t="shared" si="145"/>
        <v>42</v>
      </c>
      <c r="AR210" s="1">
        <f t="shared" si="130"/>
        <v>111</v>
      </c>
      <c r="AS210" s="1">
        <f>IF(BE210="s",25,25)</f>
        <v>25</v>
      </c>
      <c r="AT210" s="1">
        <f t="shared" si="131"/>
        <v>4</v>
      </c>
      <c r="AU210" s="1">
        <f t="shared" si="146"/>
        <v>0</v>
      </c>
      <c r="AV210" s="1">
        <f t="shared" si="138"/>
        <v>0</v>
      </c>
      <c r="AW210" s="1">
        <f t="shared" si="139"/>
        <v>0</v>
      </c>
      <c r="AX210" s="1">
        <f t="shared" si="140"/>
        <v>0</v>
      </c>
      <c r="AY210" s="1">
        <f t="shared" si="132"/>
        <v>-21</v>
      </c>
      <c r="AZ210" s="1">
        <f t="shared" si="141"/>
        <v>0</v>
      </c>
      <c r="BA210" s="1">
        <f t="shared" si="133"/>
        <v>-42</v>
      </c>
      <c r="BB210" s="1">
        <f t="shared" si="137"/>
        <v>0</v>
      </c>
      <c r="BC210" s="1">
        <f t="shared" si="134"/>
        <v>-6</v>
      </c>
      <c r="BD210" s="1">
        <f t="shared" si="135"/>
        <v>0</v>
      </c>
      <c r="BE210" s="1" t="s">
        <v>65</v>
      </c>
      <c r="BF210" s="1">
        <f t="shared" si="144"/>
        <v>42</v>
      </c>
      <c r="BG210" s="1">
        <f t="shared" si="143"/>
        <v>42</v>
      </c>
      <c r="BH210" s="1">
        <f t="shared" si="136"/>
        <v>1</v>
      </c>
      <c r="BI210" s="1" t="e">
        <f>IF(BH210-#REF!=0,"DOĞRU","YANLIŞ")</f>
        <v>#REF!</v>
      </c>
      <c r="BJ210" s="1" t="e">
        <f>#REF!-BH210</f>
        <v>#REF!</v>
      </c>
      <c r="BK210" s="1">
        <v>0</v>
      </c>
      <c r="BM210" s="1">
        <v>0</v>
      </c>
      <c r="BO210" s="1">
        <v>4</v>
      </c>
      <c r="BT210" s="8">
        <f t="shared" si="147"/>
        <v>0</v>
      </c>
      <c r="BU210" s="9"/>
      <c r="BV210" s="10"/>
      <c r="BW210" s="11"/>
      <c r="BX210" s="11"/>
      <c r="BY210" s="11"/>
      <c r="BZ210" s="11"/>
      <c r="CA210" s="11"/>
      <c r="CB210" s="12"/>
      <c r="CC210" s="13"/>
      <c r="CD210" s="14"/>
      <c r="CL210" s="11"/>
      <c r="CM210" s="11"/>
      <c r="CN210" s="11"/>
      <c r="CO210" s="11"/>
      <c r="CP210" s="11"/>
      <c r="CQ210" s="54"/>
      <c r="CR210" s="46"/>
      <c r="CS210" s="48"/>
      <c r="CT210" s="48"/>
      <c r="CU210" s="48"/>
      <c r="CV210" s="48"/>
      <c r="CW210" s="49"/>
      <c r="CX210" s="49"/>
    </row>
    <row r="211" spans="1:102" x14ac:dyDescent="0.25">
      <c r="A211" s="88" t="s">
        <v>460</v>
      </c>
      <c r="B211" s="88" t="s">
        <v>461</v>
      </c>
      <c r="C211" s="1" t="s">
        <v>461</v>
      </c>
      <c r="D211" s="2" t="s">
        <v>63</v>
      </c>
      <c r="E211" s="2" t="s">
        <v>63</v>
      </c>
      <c r="F211" s="3" t="s">
        <v>462</v>
      </c>
      <c r="H211" s="1"/>
      <c r="I211" s="88" t="s">
        <v>68</v>
      </c>
      <c r="L211" s="2">
        <v>3055</v>
      </c>
      <c r="N211" s="87">
        <v>9</v>
      </c>
      <c r="O211" s="87">
        <v>6</v>
      </c>
      <c r="P211" s="2">
        <v>8</v>
      </c>
      <c r="Q211" s="2">
        <v>4</v>
      </c>
      <c r="R211" s="2">
        <v>4</v>
      </c>
      <c r="S211" s="2">
        <v>0</v>
      </c>
      <c r="X211" s="90">
        <v>2</v>
      </c>
      <c r="Y211" s="1" t="e">
        <v>#N/A</v>
      </c>
      <c r="Z211" s="1" t="e">
        <v>#N/A</v>
      </c>
      <c r="AA211" s="1" t="e">
        <v>#N/A</v>
      </c>
      <c r="AB211" s="1">
        <v>0</v>
      </c>
      <c r="AC211" s="1">
        <v>0</v>
      </c>
      <c r="AD211" s="1">
        <v>0</v>
      </c>
      <c r="AE211" s="1" t="e">
        <v>#N/A</v>
      </c>
      <c r="AF211" s="1" t="e">
        <v>#N/A</v>
      </c>
      <c r="AG211" s="1" t="e">
        <v>#N/A</v>
      </c>
      <c r="AH211" s="1" t="e">
        <v>#N/A</v>
      </c>
      <c r="AI211" s="1">
        <v>14</v>
      </c>
      <c r="AJ211" s="1" t="e">
        <v>#N/A</v>
      </c>
      <c r="AK211" s="1" t="e">
        <v>#VALUE!</v>
      </c>
      <c r="AL211" s="1" t="e">
        <v>#N/A</v>
      </c>
      <c r="AM211" s="1">
        <v>2</v>
      </c>
      <c r="AN211" s="1" t="e">
        <v>#N/A</v>
      </c>
      <c r="AO211" s="1">
        <v>14</v>
      </c>
      <c r="AP211" s="1">
        <v>0</v>
      </c>
      <c r="AQ211" s="1" t="e">
        <v>#N/A</v>
      </c>
      <c r="AR211" s="1">
        <v>25</v>
      </c>
      <c r="AS211" s="1" t="s">
        <v>65</v>
      </c>
      <c r="AT211" s="1" t="e">
        <v>#N/A</v>
      </c>
      <c r="AU211" s="1" t="e">
        <v>#N/A</v>
      </c>
      <c r="AV211" s="1">
        <v>0</v>
      </c>
      <c r="AW211" s="1">
        <v>0</v>
      </c>
      <c r="AX211" s="1">
        <v>0</v>
      </c>
      <c r="AY211" s="1" t="e">
        <v>#N/A</v>
      </c>
      <c r="AZ211" s="1">
        <v>0</v>
      </c>
      <c r="BA211" s="1" t="e">
        <v>#N/A</v>
      </c>
      <c r="BB211" s="1">
        <v>0</v>
      </c>
      <c r="BC211" s="1">
        <v>-14</v>
      </c>
      <c r="BD211" s="1">
        <v>0</v>
      </c>
      <c r="BE211" s="1" t="s">
        <v>65</v>
      </c>
      <c r="BF211" s="1">
        <v>84</v>
      </c>
      <c r="BG211" s="1">
        <v>84</v>
      </c>
      <c r="BH211" s="1">
        <v>3</v>
      </c>
      <c r="BI211" s="1" t="e">
        <v>#REF!</v>
      </c>
      <c r="BJ211" s="1" t="e">
        <v>#REF!</v>
      </c>
      <c r="BK211" s="1">
        <v>1</v>
      </c>
      <c r="BM211" s="1">
        <v>0</v>
      </c>
      <c r="BO211" s="1">
        <v>2</v>
      </c>
      <c r="CL211" s="82"/>
      <c r="CM211" s="82"/>
      <c r="CN211" s="82"/>
      <c r="CO211" s="82"/>
      <c r="CP211" s="82" t="s">
        <v>442</v>
      </c>
      <c r="CQ211" s="84">
        <v>44307</v>
      </c>
      <c r="CR211" s="83" t="s">
        <v>531</v>
      </c>
      <c r="CS211" s="93">
        <v>44333</v>
      </c>
      <c r="CT211" s="91" t="s">
        <v>532</v>
      </c>
      <c r="CU211" s="48"/>
      <c r="CV211" s="48"/>
      <c r="CW211" s="49"/>
      <c r="CX211" s="49"/>
    </row>
    <row r="212" spans="1:102" hidden="1" x14ac:dyDescent="0.25">
      <c r="A212" s="1" t="s">
        <v>357</v>
      </c>
      <c r="B212" s="1" t="s">
        <v>358</v>
      </c>
      <c r="C212" s="1" t="s">
        <v>358</v>
      </c>
      <c r="D212" s="2" t="s">
        <v>63</v>
      </c>
      <c r="E212" s="2" t="s">
        <v>63</v>
      </c>
      <c r="F212" s="3" t="e">
        <f>IF(BE212="S",
IF(#REF!+BM212=2018,
IF(#REF!=1,"18-19/1",
IF(#REF!=2,"18-19/2",
IF(#REF!=3,"19-20/1",
IF(#REF!=4,"19-20/2",
IF(#REF!=5,"20-21/1",
IF(#REF!=6,"20-21/2",
IF(#REF!=7,"21-22/1",
IF(#REF!=8,"21-22/2","Hata1")))))))),
IF(#REF!+BM212=2019,
IF(#REF!=1,"19-20/1",
IF(#REF!=2,"19-20/2",
IF(#REF!=3,"20-21/1",
IF(#REF!=4,"20-21/2",
IF(#REF!=5,"21-22/1",
IF(#REF!=6,"21-22/2",
IF(#REF!=7,"22-23/1",
IF(#REF!=8,"22-23/2","Hata2")))))))),
IF(#REF!+BM212=2020,
IF(#REF!=1,"20-21/1",
IF(#REF!=2,"20-21/2",
IF(#REF!=3,"21-22/1",
IF(#REF!=4,"21-22/2",
IF(#REF!=5,"22-23/1",
IF(#REF!=6,"22-23/2",
IF(#REF!=7,"23-24/1",
IF(#REF!=8,"23-24/2","Hata3")))))))),
IF(#REF!+BM212=2021,
IF(#REF!=1,"21-22/1",
IF(#REF!=2,"21-22/2",
IF(#REF!=3,"22-23/1",
IF(#REF!=4,"22-23/2",
IF(#REF!=5,"23-24/1",
IF(#REF!=6,"23-24/2",
IF(#REF!=7,"24-25/1",
IF(#REF!=8,"24-25/2","Hata4")))))))),
IF(#REF!+BM212=2022,
IF(#REF!=1,"22-23/1",
IF(#REF!=2,"22-23/2",
IF(#REF!=3,"23-24/1",
IF(#REF!=4,"23-24/2",
IF(#REF!=5,"24-25/1",
IF(#REF!=6,"24-25/2",
IF(#REF!=7,"25-26/1",
IF(#REF!=8,"25-26/2","Hata5")))))))),
IF(#REF!+BM212=2023,
IF(#REF!=1,"23-24/1",
IF(#REF!=2,"23-24/2",
IF(#REF!=3,"24-25/1",
IF(#REF!=4,"24-25/2",
IF(#REF!=5,"25-26/1",
IF(#REF!=6,"25-26/2",
IF(#REF!=7,"26-27/1",
IF(#REF!=8,"26-27/2","Hata6")))))))),
)))))),
IF(BE212="T",
IF(#REF!+BM212=2018,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IF(#REF!+BM212=2019,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IF(#REF!+BM212=2020,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IF(#REF!+BM212=2021,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IF(#REF!+BM212=2022,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IF(#REF!+BM212=2023,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12" s="1" t="s">
        <v>145</v>
      </c>
      <c r="J212" s="1">
        <v>4234778</v>
      </c>
      <c r="L212" s="2">
        <v>4366</v>
      </c>
      <c r="N212" s="2">
        <v>1</v>
      </c>
      <c r="O212" s="6">
        <f>(S212)+(R212/2)+(Q212)</f>
        <v>1</v>
      </c>
      <c r="P212" s="2">
        <f>Q212+R212+S212</f>
        <v>1</v>
      </c>
      <c r="Q212" s="2">
        <v>1</v>
      </c>
      <c r="R212" s="2">
        <v>0</v>
      </c>
      <c r="S212" s="2">
        <v>0</v>
      </c>
      <c r="X212" s="3">
        <v>0</v>
      </c>
      <c r="Y212" s="1">
        <f>VLOOKUP(X212,[4]ölçme_sistemleri!I:L,2,FALSE)</f>
        <v>0</v>
      </c>
      <c r="Z212" s="1">
        <f>VLOOKUP(X212,[4]ölçme_sistemleri!I:L,3,FALSE)</f>
        <v>0</v>
      </c>
      <c r="AA212" s="1">
        <f>VLOOKUP(X212,[4]ölçme_sistemleri!I:L,4,FALSE)</f>
        <v>0</v>
      </c>
      <c r="AB212" s="1">
        <f>$O212*[4]ölçme_sistemleri!J$13</f>
        <v>1</v>
      </c>
      <c r="AC212" s="1">
        <f>$O212*[4]ölçme_sistemleri!K$13</f>
        <v>2</v>
      </c>
      <c r="AD212" s="1">
        <f>$O212*[4]ölçme_sistemleri!L$13</f>
        <v>3</v>
      </c>
      <c r="AE212" s="1">
        <f t="shared" ref="AE212:AG214" si="148">Y212*AB212</f>
        <v>0</v>
      </c>
      <c r="AF212" s="1">
        <f t="shared" si="148"/>
        <v>0</v>
      </c>
      <c r="AG212" s="1">
        <f t="shared" si="148"/>
        <v>0</v>
      </c>
      <c r="AH212" s="1">
        <f>SUM(AE212:AG212)</f>
        <v>0</v>
      </c>
      <c r="AI212" s="1">
        <v>14</v>
      </c>
      <c r="AJ212" s="1">
        <f>VLOOKUP(X212,[4]ölçme_sistemleri!I:M,5,FALSE)</f>
        <v>0</v>
      </c>
      <c r="AK212" s="1">
        <f>SUM(AE212,AF212,AG212)*AI212</f>
        <v>0</v>
      </c>
      <c r="AL212" s="1">
        <f>(Q212+S212)*AI212</f>
        <v>14</v>
      </c>
      <c r="AM212" s="1">
        <f>VLOOKUP(X212,[4]ölçme_sistemleri!I:N,6,FALSE)</f>
        <v>0</v>
      </c>
      <c r="AN212" s="1">
        <v>2</v>
      </c>
      <c r="AO212" s="1">
        <f>AM212*AN212</f>
        <v>0</v>
      </c>
      <c r="AP212" s="1">
        <v>14</v>
      </c>
      <c r="AQ212" s="1">
        <f>AP212*P212</f>
        <v>14</v>
      </c>
      <c r="AR212" s="1">
        <f>AQ212+AO212+AL212+AE212+AF212+AG212</f>
        <v>28</v>
      </c>
      <c r="AS212" s="1">
        <f>IF(BE212="s",25,25)</f>
        <v>25</v>
      </c>
      <c r="AT212" s="1">
        <f>ROUND(AR212/AS212,0)</f>
        <v>1</v>
      </c>
      <c r="AU212" s="1">
        <f>ROUND(AT212-N212,0)</f>
        <v>0</v>
      </c>
      <c r="AV212" s="1">
        <f>IF(BE212="s",IF(W212=0,0,
IF(W212=1,N212*4*4,
IF(W212=2,0,
IF(W212=3,N212*4*2,
IF(W212=4,0,
IF(W212=5,0,
IF(W212=6,0,
IF(W212=7,0)))))))),
IF(BE212="t",
IF(W212=0,0,
IF(W212=1,N212*4*4*0.8,
IF(W212=2,0,
IF(W212=3,N212*4*2*0.8,
IF(W212=4,0,
IF(W212=5,0,
IF(W212=6,0,
IF(W212=7,0))))))))))</f>
        <v>0</v>
      </c>
      <c r="AW212" s="1">
        <f>IF(BE212="s",
IF(W212=0,0,
IF(W212=1,0,
IF(W212=2,N212*4*2,
IF(W212=3,N212*4,
IF(W212=4,N212*4,
IF(W212=5,0,
IF(W212=6,0,
IF(W212=7,N212*4)))))))),
IF(BE212="t",
IF(W212=0,0,
IF(W212=1,0,
IF(W212=2,N212*4*2*0.8,
IF(W212=3,N212*4*0.8,
IF(W212=4,N212*4*0.8,
IF(W212=5,0,
IF(W212=6,0,
IF(W212=7,N212*4))))))))))</f>
        <v>0</v>
      </c>
      <c r="AX212" s="1">
        <f>IF(BE212="s",
IF(W212=0,0,
IF(W212=1,N212*2,
IF(W212=2,N212*2,
IF(W212=3,N212*2,
IF(W212=4,N212*2,
IF(W212=5,N212*2,
IF(W212=6,N212*2,
IF(W212=7,N212*2)))))))),
IF(BE212="t",
IF(W212=0,O212*2*0.8,
IF(W212=1,N212*2*0.8,
IF(W212=2,N212*2*0.8,
IF(W212=3,N212*2*0.8,
IF(W212=4,N212*2*0.8,
IF(W212=5,N212*2*0.8,
IF(W212=6,N212*1*0.8,
IF(W212=7,N212*2))))))))))</f>
        <v>0</v>
      </c>
      <c r="AY212" s="1">
        <f>SUM(AV212:AX212)-SUM(AD212:AF212)</f>
        <v>-3</v>
      </c>
      <c r="AZ212" s="1">
        <f>IF(BE212="s",
IF(W212=0,0,
IF(W212=1,(14-2)*(P212+R212)/4*4,
IF(W212=2,(14-2)*(P212+R212)/4*2,
IF(W212=3,(14-2)*(P212+R212)/4*3,
IF(W212=4,(14-2)*(P212+R212)/4,
IF(W212=5,(14-2)*N212/4,
IF(W212=6,0,
IF(W212=7,(14)*R212)))))))),
IF(BE212="t",
IF(W212=0,0,
IF(W212=1,(11-2)*(P212+R212)/4*4,
IF(W212=2,(11-2)*(P212+R212)/4*2,
IF(W212=3,(11-2)*(P212+R212)/4*3,
IF(W212=4,(11-2)*(P212+R212)/4,
IF(W212=5,(11-2)*N212/4,
IF(W212=6,0,
IF(W212=7,(11)*N212))))))))))</f>
        <v>0</v>
      </c>
      <c r="BA212" s="1">
        <f>AZ212-AL212</f>
        <v>-14</v>
      </c>
      <c r="BB212" s="1">
        <f>IF(BE212="s",
IF(W212=0,0,
IF(W212=1,4*5,
IF(W212=2,4*3,
IF(W212=3,4*4,
IF(W212=4,4*2,
IF(W212=5,4,
IF(W212=6,4/2,
IF(W212=7,4*2,)))))))),
IF(BE212="t",
IF(W212=0,0,
IF(W212=1,4*5,
IF(W212=2,4*3,
IF(W212=3,4*4,
IF(W212=4,4*2,
IF(W212=5,4,
IF(W212=6,4/2,
IF(W212=7,4*2))))))))))</f>
        <v>0</v>
      </c>
      <c r="BC212" s="1">
        <f>BB212-AO212</f>
        <v>0</v>
      </c>
      <c r="BD212" s="1">
        <f>AV212+AW212+AX212+(IF(BK212=1,(AZ212)*2,AZ212))+BB212</f>
        <v>0</v>
      </c>
      <c r="BE212" s="1" t="s">
        <v>65</v>
      </c>
      <c r="BF212" s="1">
        <f>IF(BL212="A",0,IF(BE212="s",14*O212,IF(BE212="T",11*O212,"HATA")))</f>
        <v>14</v>
      </c>
      <c r="BG212" s="1">
        <f>IF(BL212="Z",(BF212+BD212)*1.15,(BF212+BD212))</f>
        <v>14</v>
      </c>
      <c r="BH212" s="1">
        <f>IF(BE212="s",ROUND(BG212/30,0),IF(BE212="T",ROUND(BG212/25,0),"HATA"))</f>
        <v>0</v>
      </c>
      <c r="BI212" s="1" t="e">
        <f>IF(BH212-#REF!=0,"DOĞRU","YANLIŞ")</f>
        <v>#REF!</v>
      </c>
      <c r="BJ212" s="1" t="e">
        <f>#REF!-BH212</f>
        <v>#REF!</v>
      </c>
      <c r="BK212" s="1">
        <v>0</v>
      </c>
      <c r="BM212" s="1">
        <v>0</v>
      </c>
      <c r="BO212" s="1">
        <v>0</v>
      </c>
      <c r="BT212" s="8">
        <f>R212*14</f>
        <v>0</v>
      </c>
      <c r="BU212" s="9"/>
      <c r="BV212" s="10"/>
      <c r="BW212" s="11"/>
      <c r="BX212" s="11"/>
      <c r="BY212" s="11"/>
      <c r="BZ212" s="11"/>
      <c r="CA212" s="11"/>
      <c r="CB212" s="12"/>
      <c r="CC212" s="13"/>
      <c r="CD212" s="14"/>
      <c r="CL212" s="11"/>
      <c r="CM212" s="11"/>
      <c r="CN212" s="11"/>
      <c r="CO212" s="11"/>
      <c r="CP212" s="11"/>
      <c r="CQ212" s="54"/>
      <c r="CR212" s="46"/>
      <c r="CS212" s="54"/>
      <c r="CT212" s="48"/>
      <c r="CU212" s="54"/>
      <c r="CV212" s="48"/>
      <c r="CW212" s="49"/>
      <c r="CX212" s="49"/>
    </row>
    <row r="213" spans="1:102" hidden="1" x14ac:dyDescent="0.25">
      <c r="A213" s="1" t="s">
        <v>357</v>
      </c>
      <c r="B213" s="1" t="s">
        <v>358</v>
      </c>
      <c r="C213" s="1" t="s">
        <v>358</v>
      </c>
      <c r="D213" s="2" t="s">
        <v>63</v>
      </c>
      <c r="E213" s="2" t="s">
        <v>63</v>
      </c>
      <c r="F213" s="3" t="e">
        <f>IF(BE213="S",
IF(#REF!+BM213=2018,
IF(#REF!=1,"18-19/1",
IF(#REF!=2,"18-19/2",
IF(#REF!=3,"19-20/1",
IF(#REF!=4,"19-20/2",
IF(#REF!=5,"20-21/1",
IF(#REF!=6,"20-21/2",
IF(#REF!=7,"21-22/1",
IF(#REF!=8,"21-22/2","Hata1")))))))),
IF(#REF!+BM213=2019,
IF(#REF!=1,"19-20/1",
IF(#REF!=2,"19-20/2",
IF(#REF!=3,"20-21/1",
IF(#REF!=4,"20-21/2",
IF(#REF!=5,"21-22/1",
IF(#REF!=6,"21-22/2",
IF(#REF!=7,"22-23/1",
IF(#REF!=8,"22-23/2","Hata2")))))))),
IF(#REF!+BM213=2020,
IF(#REF!=1,"20-21/1",
IF(#REF!=2,"20-21/2",
IF(#REF!=3,"21-22/1",
IF(#REF!=4,"21-22/2",
IF(#REF!=5,"22-23/1",
IF(#REF!=6,"22-23/2",
IF(#REF!=7,"23-24/1",
IF(#REF!=8,"23-24/2","Hata3")))))))),
IF(#REF!+BM213=2021,
IF(#REF!=1,"21-22/1",
IF(#REF!=2,"21-22/2",
IF(#REF!=3,"22-23/1",
IF(#REF!=4,"22-23/2",
IF(#REF!=5,"23-24/1",
IF(#REF!=6,"23-24/2",
IF(#REF!=7,"24-25/1",
IF(#REF!=8,"24-25/2","Hata4")))))))),
IF(#REF!+BM213=2022,
IF(#REF!=1,"22-23/1",
IF(#REF!=2,"22-23/2",
IF(#REF!=3,"23-24/1",
IF(#REF!=4,"23-24/2",
IF(#REF!=5,"24-25/1",
IF(#REF!=6,"24-25/2",
IF(#REF!=7,"25-26/1",
IF(#REF!=8,"25-26/2","Hata5")))))))),
IF(#REF!+BM213=2023,
IF(#REF!=1,"23-24/1",
IF(#REF!=2,"23-24/2",
IF(#REF!=3,"24-25/1",
IF(#REF!=4,"24-25/2",
IF(#REF!=5,"25-26/1",
IF(#REF!=6,"25-26/2",
IF(#REF!=7,"26-27/1",
IF(#REF!=8,"26-27/2","Hata6")))))))),
)))))),
IF(BE213="T",
IF(#REF!+BM213=2018,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IF(#REF!+BM213=2019,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IF(#REF!+BM213=2020,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IF(#REF!+BM213=2021,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IF(#REF!+BM213=2022,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IF(#REF!+BM213=2023,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13" s="1" t="s">
        <v>145</v>
      </c>
      <c r="J213" s="1">
        <v>4234778</v>
      </c>
      <c r="L213" s="2">
        <v>4366</v>
      </c>
      <c r="N213" s="2">
        <v>1</v>
      </c>
      <c r="O213" s="6">
        <f>(S213)+(R213/2)+(Q213)</f>
        <v>1</v>
      </c>
      <c r="P213" s="2">
        <f>Q213+R213+S213</f>
        <v>1</v>
      </c>
      <c r="Q213" s="2">
        <v>1</v>
      </c>
      <c r="R213" s="2">
        <v>0</v>
      </c>
      <c r="S213" s="2">
        <v>0</v>
      </c>
      <c r="X213" s="3">
        <v>0</v>
      </c>
      <c r="Y213" s="1">
        <f>VLOOKUP(X213,[4]ölçme_sistemleri!I:L,2,FALSE)</f>
        <v>0</v>
      </c>
      <c r="Z213" s="1">
        <f>VLOOKUP(X213,[4]ölçme_sistemleri!I:L,3,FALSE)</f>
        <v>0</v>
      </c>
      <c r="AA213" s="1">
        <f>VLOOKUP(X213,[4]ölçme_sistemleri!I:L,4,FALSE)</f>
        <v>0</v>
      </c>
      <c r="AB213" s="1">
        <f>$O213*[4]ölçme_sistemleri!J$13</f>
        <v>1</v>
      </c>
      <c r="AC213" s="1">
        <f>$O213*[4]ölçme_sistemleri!K$13</f>
        <v>2</v>
      </c>
      <c r="AD213" s="1">
        <f>$O213*[4]ölçme_sistemleri!L$13</f>
        <v>3</v>
      </c>
      <c r="AE213" s="1">
        <f t="shared" si="148"/>
        <v>0</v>
      </c>
      <c r="AF213" s="1">
        <f t="shared" si="148"/>
        <v>0</v>
      </c>
      <c r="AG213" s="1">
        <f t="shared" si="148"/>
        <v>0</v>
      </c>
      <c r="AH213" s="1">
        <f>SUM(AE213:AG213)</f>
        <v>0</v>
      </c>
      <c r="AI213" s="1">
        <v>14</v>
      </c>
      <c r="AJ213" s="1">
        <f>VLOOKUP(X213,[4]ölçme_sistemleri!I:M,5,FALSE)</f>
        <v>0</v>
      </c>
      <c r="AK213" s="1">
        <f>SUM(AE213,AF213,AG213)*AI213</f>
        <v>0</v>
      </c>
      <c r="AL213" s="1">
        <f>(Q213+S213)*AI213</f>
        <v>14</v>
      </c>
      <c r="AM213" s="1">
        <f>VLOOKUP(X213,[4]ölçme_sistemleri!I:N,6,FALSE)</f>
        <v>0</v>
      </c>
      <c r="AN213" s="1">
        <v>2</v>
      </c>
      <c r="AO213" s="1">
        <f>AM213*AN213</f>
        <v>0</v>
      </c>
      <c r="AP213" s="1">
        <v>14</v>
      </c>
      <c r="AQ213" s="1">
        <f>AP213*P213</f>
        <v>14</v>
      </c>
      <c r="AR213" s="1">
        <f>AQ213+AO213+AL213+AE213+AF213+AG213</f>
        <v>28</v>
      </c>
      <c r="AS213" s="1">
        <f>IF(BE213="s",25,25)</f>
        <v>25</v>
      </c>
      <c r="AT213" s="1">
        <f>ROUND(AR213/AS213,0)</f>
        <v>1</v>
      </c>
      <c r="AU213" s="1">
        <f>ROUND(AT213-N213,0)</f>
        <v>0</v>
      </c>
      <c r="AV213" s="1">
        <f>IF(BE213="s",IF(W213=0,0,
IF(W213=1,N213*4*4,
IF(W213=2,0,
IF(W213=3,N213*4*2,
IF(W213=4,0,
IF(W213=5,0,
IF(W213=6,0,
IF(W213=7,0)))))))),
IF(BE213="t",
IF(W213=0,0,
IF(W213=1,N213*4*4*0.8,
IF(W213=2,0,
IF(W213=3,N213*4*2*0.8,
IF(W213=4,0,
IF(W213=5,0,
IF(W213=6,0,
IF(W213=7,0))))))))))</f>
        <v>0</v>
      </c>
      <c r="AW213" s="1">
        <f>IF(BE213="s",
IF(W213=0,0,
IF(W213=1,0,
IF(W213=2,N213*4*2,
IF(W213=3,N213*4,
IF(W213=4,N213*4,
IF(W213=5,0,
IF(W213=6,0,
IF(W213=7,N213*4)))))))),
IF(BE213="t",
IF(W213=0,0,
IF(W213=1,0,
IF(W213=2,N213*4*2*0.8,
IF(W213=3,N213*4*0.8,
IF(W213=4,N213*4*0.8,
IF(W213=5,0,
IF(W213=6,0,
IF(W213=7,N213*4))))))))))</f>
        <v>0</v>
      </c>
      <c r="AX213" s="1">
        <f>IF(BE213="s",
IF(W213=0,0,
IF(W213=1,N213*2,
IF(W213=2,N213*2,
IF(W213=3,N213*2,
IF(W213=4,N213*2,
IF(W213=5,N213*2,
IF(W213=6,N213*2,
IF(W213=7,N213*2)))))))),
IF(BE213="t",
IF(W213=0,O213*2*0.8,
IF(W213=1,N213*2*0.8,
IF(W213=2,N213*2*0.8,
IF(W213=3,N213*2*0.8,
IF(W213=4,N213*2*0.8,
IF(W213=5,N213*2*0.8,
IF(W213=6,N213*1*0.8,
IF(W213=7,N213*2))))))))))</f>
        <v>0</v>
      </c>
      <c r="AY213" s="1">
        <f>SUM(AV213:AX213)-SUM(AD213:AF213)</f>
        <v>-3</v>
      </c>
      <c r="AZ213" s="1">
        <f>IF(BE213="s",
IF(W213=0,0,
IF(W213=1,(14-2)*(P213+R213)/4*4,
IF(W213=2,(14-2)*(P213+R213)/4*2,
IF(W213=3,(14-2)*(P213+R213)/4*3,
IF(W213=4,(14-2)*(P213+R213)/4,
IF(W213=5,(14-2)*N213/4,
IF(W213=6,0,
IF(W213=7,(14)*R213)))))))),
IF(BE213="t",
IF(W213=0,0,
IF(W213=1,(11-2)*(P213+R213)/4*4,
IF(W213=2,(11-2)*(P213+R213)/4*2,
IF(W213=3,(11-2)*(P213+R213)/4*3,
IF(W213=4,(11-2)*(P213+R213)/4,
IF(W213=5,(11-2)*N213/4,
IF(W213=6,0,
IF(W213=7,(11)*N213))))))))))</f>
        <v>0</v>
      </c>
      <c r="BA213" s="1">
        <f>AZ213-AL213</f>
        <v>-14</v>
      </c>
      <c r="BB213" s="1">
        <f>IF(BE213="s",
IF(W213=0,0,
IF(W213=1,4*5,
IF(W213=2,4*3,
IF(W213=3,4*4,
IF(W213=4,4*2,
IF(W213=5,4,
IF(W213=6,4/2,
IF(W213=7,4*2,)))))))),
IF(BE213="t",
IF(W213=0,0,
IF(W213=1,4*5,
IF(W213=2,4*3,
IF(W213=3,4*4,
IF(W213=4,4*2,
IF(W213=5,4,
IF(W213=6,4/2,
IF(W213=7,4*2))))))))))</f>
        <v>0</v>
      </c>
      <c r="BC213" s="1">
        <f>BB213-AO213</f>
        <v>0</v>
      </c>
      <c r="BD213" s="1">
        <f>AV213+AW213+AX213+(IF(BK213=1,(AZ213)*2,AZ213))+BB213</f>
        <v>0</v>
      </c>
      <c r="BE213" s="1" t="s">
        <v>65</v>
      </c>
      <c r="BF213" s="1">
        <f>IF(BL213="A",0,IF(BE213="s",14*O213,IF(BE213="T",11*O213,"HATA")))</f>
        <v>14</v>
      </c>
      <c r="BG213" s="1">
        <f>IF(BL213="Z",(BF213+BD213)*1.15,(BF213+BD213))</f>
        <v>14</v>
      </c>
      <c r="BH213" s="1">
        <f>IF(BE213="s",ROUND(BG213/30,0),IF(BE213="T",ROUND(BG213/25,0),"HATA"))</f>
        <v>0</v>
      </c>
      <c r="BI213" s="1" t="e">
        <f>IF(BH213-#REF!=0,"DOĞRU","YANLIŞ")</f>
        <v>#REF!</v>
      </c>
      <c r="BJ213" s="1" t="e">
        <f>#REF!-BH213</f>
        <v>#REF!</v>
      </c>
      <c r="BK213" s="1">
        <v>0</v>
      </c>
      <c r="BM213" s="1">
        <v>0</v>
      </c>
      <c r="BO213" s="1">
        <v>0</v>
      </c>
      <c r="BT213" s="8">
        <f>R213*14</f>
        <v>0</v>
      </c>
      <c r="BU213" s="9"/>
      <c r="BV213" s="10"/>
      <c r="BW213" s="11"/>
      <c r="BX213" s="11"/>
      <c r="BY213" s="11"/>
      <c r="BZ213" s="11"/>
      <c r="CA213" s="11"/>
      <c r="CB213" s="12"/>
      <c r="CC213" s="13"/>
      <c r="CD213" s="14"/>
      <c r="CL213" s="11"/>
      <c r="CM213" s="11"/>
      <c r="CN213" s="11"/>
      <c r="CO213" s="11"/>
      <c r="CP213" s="11"/>
      <c r="CQ213" s="54"/>
      <c r="CR213" s="46"/>
      <c r="CS213" s="48"/>
      <c r="CT213" s="48"/>
      <c r="CU213" s="48"/>
      <c r="CV213" s="48"/>
      <c r="CW213" s="49"/>
      <c r="CX213" s="49"/>
    </row>
    <row r="214" spans="1:102" hidden="1" x14ac:dyDescent="0.25">
      <c r="A214" s="1" t="s">
        <v>357</v>
      </c>
      <c r="B214" s="1" t="s">
        <v>358</v>
      </c>
      <c r="C214" s="1" t="s">
        <v>358</v>
      </c>
      <c r="D214" s="2" t="s">
        <v>63</v>
      </c>
      <c r="E214" s="2" t="s">
        <v>63</v>
      </c>
      <c r="F214" s="3" t="e">
        <f>IF(BE214="S",
IF(#REF!+BM214=2018,
IF(#REF!=1,"18-19/1",
IF(#REF!=2,"18-19/2",
IF(#REF!=3,"19-20/1",
IF(#REF!=4,"19-20/2",
IF(#REF!=5,"20-21/1",
IF(#REF!=6,"20-21/2",
IF(#REF!=7,"21-22/1",
IF(#REF!=8,"21-22/2","Hata1")))))))),
IF(#REF!+BM214=2019,
IF(#REF!=1,"19-20/1",
IF(#REF!=2,"19-20/2",
IF(#REF!=3,"20-21/1",
IF(#REF!=4,"20-21/2",
IF(#REF!=5,"21-22/1",
IF(#REF!=6,"21-22/2",
IF(#REF!=7,"22-23/1",
IF(#REF!=8,"22-23/2","Hata2")))))))),
IF(#REF!+BM214=2020,
IF(#REF!=1,"20-21/1",
IF(#REF!=2,"20-21/2",
IF(#REF!=3,"21-22/1",
IF(#REF!=4,"21-22/2",
IF(#REF!=5,"22-23/1",
IF(#REF!=6,"22-23/2",
IF(#REF!=7,"23-24/1",
IF(#REF!=8,"23-24/2","Hata3")))))))),
IF(#REF!+BM214=2021,
IF(#REF!=1,"21-22/1",
IF(#REF!=2,"21-22/2",
IF(#REF!=3,"22-23/1",
IF(#REF!=4,"22-23/2",
IF(#REF!=5,"23-24/1",
IF(#REF!=6,"23-24/2",
IF(#REF!=7,"24-25/1",
IF(#REF!=8,"24-25/2","Hata4")))))))),
IF(#REF!+BM214=2022,
IF(#REF!=1,"22-23/1",
IF(#REF!=2,"22-23/2",
IF(#REF!=3,"23-24/1",
IF(#REF!=4,"23-24/2",
IF(#REF!=5,"24-25/1",
IF(#REF!=6,"24-25/2",
IF(#REF!=7,"25-26/1",
IF(#REF!=8,"25-26/2","Hata5")))))))),
IF(#REF!+BM214=2023,
IF(#REF!=1,"23-24/1",
IF(#REF!=2,"23-24/2",
IF(#REF!=3,"24-25/1",
IF(#REF!=4,"24-25/2",
IF(#REF!=5,"25-26/1",
IF(#REF!=6,"25-26/2",
IF(#REF!=7,"26-27/1",
IF(#REF!=8,"26-27/2","Hata6")))))))),
)))))),
IF(BE214="T",
IF(#REF!+BM214=2018,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IF(#REF!+BM214=2019,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IF(#REF!+BM214=2020,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IF(#REF!+BM214=2021,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IF(#REF!+BM214=2022,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IF(#REF!+BM214=2023,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14" s="1" t="s">
        <v>145</v>
      </c>
      <c r="J214" s="1">
        <v>4234778</v>
      </c>
      <c r="L214" s="2">
        <v>4366</v>
      </c>
      <c r="N214" s="2">
        <v>1</v>
      </c>
      <c r="O214" s="6">
        <f>(S214)+(R214/2)+(Q214)</f>
        <v>1</v>
      </c>
      <c r="P214" s="2">
        <f>Q214+R214+S214</f>
        <v>1</v>
      </c>
      <c r="Q214" s="2">
        <v>1</v>
      </c>
      <c r="R214" s="2">
        <v>0</v>
      </c>
      <c r="S214" s="2">
        <v>0</v>
      </c>
      <c r="X214" s="3">
        <v>0</v>
      </c>
      <c r="Y214" s="1">
        <f>VLOOKUP(X214,[4]ölçme_sistemleri!I:L,2,FALSE)</f>
        <v>0</v>
      </c>
      <c r="Z214" s="1">
        <f>VLOOKUP(X214,[4]ölçme_sistemleri!I:L,3,FALSE)</f>
        <v>0</v>
      </c>
      <c r="AA214" s="1">
        <f>VLOOKUP(X214,[4]ölçme_sistemleri!I:L,4,FALSE)</f>
        <v>0</v>
      </c>
      <c r="AB214" s="1">
        <f>$O214*[4]ölçme_sistemleri!J$13</f>
        <v>1</v>
      </c>
      <c r="AC214" s="1">
        <f>$O214*[4]ölçme_sistemleri!K$13</f>
        <v>2</v>
      </c>
      <c r="AD214" s="1">
        <f>$O214*[4]ölçme_sistemleri!L$13</f>
        <v>3</v>
      </c>
      <c r="AE214" s="1">
        <f t="shared" si="148"/>
        <v>0</v>
      </c>
      <c r="AF214" s="1">
        <f t="shared" si="148"/>
        <v>0</v>
      </c>
      <c r="AG214" s="1">
        <f t="shared" si="148"/>
        <v>0</v>
      </c>
      <c r="AH214" s="1">
        <f>SUM(AE214:AG214)</f>
        <v>0</v>
      </c>
      <c r="AI214" s="1">
        <v>14</v>
      </c>
      <c r="AJ214" s="1">
        <f>VLOOKUP(X214,[4]ölçme_sistemleri!I:M,5,FALSE)</f>
        <v>0</v>
      </c>
      <c r="AK214" s="1">
        <f>SUM(AE214,AF214,AG214)*AI214</f>
        <v>0</v>
      </c>
      <c r="AL214" s="1">
        <f>(Q214+S214)*AI214</f>
        <v>14</v>
      </c>
      <c r="AM214" s="1">
        <f>VLOOKUP(X214,[4]ölçme_sistemleri!I:N,6,FALSE)</f>
        <v>0</v>
      </c>
      <c r="AN214" s="1">
        <v>2</v>
      </c>
      <c r="AO214" s="1">
        <f>AM214*AN214</f>
        <v>0</v>
      </c>
      <c r="AP214" s="1">
        <v>14</v>
      </c>
      <c r="AQ214" s="1">
        <f>AP214*P214</f>
        <v>14</v>
      </c>
      <c r="AR214" s="1">
        <f>AQ214+AO214+AL214+AE214+AF214+AG214</f>
        <v>28</v>
      </c>
      <c r="AS214" s="1">
        <f>IF(BE214="s",25,25)</f>
        <v>25</v>
      </c>
      <c r="AT214" s="1">
        <f>ROUND(AR214/AS214,0)</f>
        <v>1</v>
      </c>
      <c r="AU214" s="1">
        <f>ROUND(AT214-N214,0)</f>
        <v>0</v>
      </c>
      <c r="AV214" s="1">
        <f>IF(BE214="s",IF(W214=0,0,
IF(W214=1,N214*4*4,
IF(W214=2,0,
IF(W214=3,N214*4*2,
IF(W214=4,0,
IF(W214=5,0,
IF(W214=6,0,
IF(W214=7,0)))))))),
IF(BE214="t",
IF(W214=0,0,
IF(W214=1,N214*4*4*0.8,
IF(W214=2,0,
IF(W214=3,N214*4*2*0.8,
IF(W214=4,0,
IF(W214=5,0,
IF(W214=6,0,
IF(W214=7,0))))))))))</f>
        <v>0</v>
      </c>
      <c r="AW214" s="1">
        <f>IF(BE214="s",
IF(W214=0,0,
IF(W214=1,0,
IF(W214=2,N214*4*2,
IF(W214=3,N214*4,
IF(W214=4,N214*4,
IF(W214=5,0,
IF(W214=6,0,
IF(W214=7,N214*4)))))))),
IF(BE214="t",
IF(W214=0,0,
IF(W214=1,0,
IF(W214=2,N214*4*2*0.8,
IF(W214=3,N214*4*0.8,
IF(W214=4,N214*4*0.8,
IF(W214=5,0,
IF(W214=6,0,
IF(W214=7,N214*4))))))))))</f>
        <v>0</v>
      </c>
      <c r="AX214" s="1">
        <f>IF(BE214="s",
IF(W214=0,0,
IF(W214=1,N214*2,
IF(W214=2,N214*2,
IF(W214=3,N214*2,
IF(W214=4,N214*2,
IF(W214=5,N214*2,
IF(W214=6,N214*2,
IF(W214=7,N214*2)))))))),
IF(BE214="t",
IF(W214=0,O214*2*0.8,
IF(W214=1,N214*2*0.8,
IF(W214=2,N214*2*0.8,
IF(W214=3,N214*2*0.8,
IF(W214=4,N214*2*0.8,
IF(W214=5,N214*2*0.8,
IF(W214=6,N214*1*0.8,
IF(W214=7,N214*2))))))))))</f>
        <v>0</v>
      </c>
      <c r="AY214" s="1">
        <f>SUM(AV214:AX214)-SUM(AD214:AF214)</f>
        <v>-3</v>
      </c>
      <c r="AZ214" s="1">
        <f>IF(BE214="s",
IF(W214=0,0,
IF(W214=1,(14-2)*(P214+R214)/4*4,
IF(W214=2,(14-2)*(P214+R214)/4*2,
IF(W214=3,(14-2)*(P214+R214)/4*3,
IF(W214=4,(14-2)*(P214+R214)/4,
IF(W214=5,(14-2)*N214/4,
IF(W214=6,0,
IF(W214=7,(14)*R214)))))))),
IF(BE214="t",
IF(W214=0,0,
IF(W214=1,(11-2)*(P214+R214)/4*4,
IF(W214=2,(11-2)*(P214+R214)/4*2,
IF(W214=3,(11-2)*(P214+R214)/4*3,
IF(W214=4,(11-2)*(P214+R214)/4,
IF(W214=5,(11-2)*N214/4,
IF(W214=6,0,
IF(W214=7,(11)*N214))))))))))</f>
        <v>0</v>
      </c>
      <c r="BA214" s="1">
        <f>AZ214-AL214</f>
        <v>-14</v>
      </c>
      <c r="BB214" s="1">
        <f>IF(BE214="s",
IF(W214=0,0,
IF(W214=1,4*5,
IF(W214=2,4*3,
IF(W214=3,4*4,
IF(W214=4,4*2,
IF(W214=5,4,
IF(W214=6,4/2,
IF(W214=7,4*2,)))))))),
IF(BE214="t",
IF(W214=0,0,
IF(W214=1,4*5,
IF(W214=2,4*3,
IF(W214=3,4*4,
IF(W214=4,4*2,
IF(W214=5,4,
IF(W214=6,4/2,
IF(W214=7,4*2))))))))))</f>
        <v>0</v>
      </c>
      <c r="BC214" s="1">
        <f>BB214-AO214</f>
        <v>0</v>
      </c>
      <c r="BD214" s="1">
        <f>AV214+AW214+AX214+(IF(BK214=1,(AZ214)*2,AZ214))+BB214</f>
        <v>0</v>
      </c>
      <c r="BE214" s="1" t="s">
        <v>65</v>
      </c>
      <c r="BF214" s="1">
        <f>IF(BL214="A",0,IF(BE214="s",14*O214,IF(BE214="T",11*O214,"HATA")))</f>
        <v>14</v>
      </c>
      <c r="BG214" s="1">
        <f>IF(BL214="Z",(BF214+BD214)*1.15,(BF214+BD214))</f>
        <v>14</v>
      </c>
      <c r="BH214" s="1">
        <f>IF(BE214="s",ROUND(BG214/30,0),IF(BE214="T",ROUND(BG214/25,0),"HATA"))</f>
        <v>0</v>
      </c>
      <c r="BI214" s="1" t="e">
        <f>IF(BH214-#REF!=0,"DOĞRU","YANLIŞ")</f>
        <v>#REF!</v>
      </c>
      <c r="BJ214" s="1" t="e">
        <f>#REF!-BH214</f>
        <v>#REF!</v>
      </c>
      <c r="BK214" s="1">
        <v>0</v>
      </c>
      <c r="BM214" s="1">
        <v>0</v>
      </c>
      <c r="BO214" s="1">
        <v>0</v>
      </c>
      <c r="BT214" s="8">
        <f>R214*14</f>
        <v>0</v>
      </c>
      <c r="BU214" s="9"/>
      <c r="BV214" s="10"/>
      <c r="BW214" s="11"/>
      <c r="BX214" s="11"/>
      <c r="BY214" s="11"/>
      <c r="BZ214" s="11"/>
      <c r="CA214" s="11"/>
      <c r="CB214" s="12"/>
      <c r="CC214" s="13"/>
      <c r="CD214" s="14"/>
      <c r="CL214" s="11"/>
      <c r="CM214" s="11"/>
      <c r="CN214" s="11"/>
      <c r="CO214" s="11"/>
      <c r="CP214" s="11"/>
      <c r="CQ214" s="54"/>
      <c r="CR214" s="46"/>
      <c r="CS214" s="48"/>
      <c r="CT214" s="48"/>
      <c r="CU214" s="48"/>
      <c r="CV214" s="48"/>
      <c r="CW214" s="49"/>
      <c r="CX214" s="49"/>
    </row>
    <row r="215" spans="1:102" x14ac:dyDescent="0.25">
      <c r="A215" s="88" t="s">
        <v>460</v>
      </c>
      <c r="B215" s="88" t="s">
        <v>461</v>
      </c>
      <c r="C215" s="1" t="s">
        <v>461</v>
      </c>
      <c r="D215" s="2" t="s">
        <v>63</v>
      </c>
      <c r="E215" s="2" t="s">
        <v>63</v>
      </c>
      <c r="F215" s="3" t="s">
        <v>462</v>
      </c>
      <c r="H215" s="1"/>
      <c r="I215" s="88" t="s">
        <v>64</v>
      </c>
      <c r="L215" s="2">
        <v>3055</v>
      </c>
      <c r="N215" s="87">
        <v>9</v>
      </c>
      <c r="O215" s="87">
        <v>6</v>
      </c>
      <c r="P215" s="2">
        <v>8</v>
      </c>
      <c r="Q215" s="2">
        <v>4</v>
      </c>
      <c r="R215" s="2">
        <v>4</v>
      </c>
      <c r="S215" s="2">
        <v>0</v>
      </c>
      <c r="X215" s="90">
        <v>2</v>
      </c>
      <c r="Y215" s="1" t="e">
        <v>#N/A</v>
      </c>
      <c r="Z215" s="1" t="e">
        <v>#N/A</v>
      </c>
      <c r="AA215" s="1" t="e">
        <v>#N/A</v>
      </c>
      <c r="AB215" s="1">
        <v>0</v>
      </c>
      <c r="AC215" s="1">
        <v>0</v>
      </c>
      <c r="AD215" s="1">
        <v>0</v>
      </c>
      <c r="AE215" s="1" t="e">
        <v>#N/A</v>
      </c>
      <c r="AF215" s="1" t="e">
        <v>#N/A</v>
      </c>
      <c r="AG215" s="1" t="e">
        <v>#N/A</v>
      </c>
      <c r="AH215" s="1" t="e">
        <v>#N/A</v>
      </c>
      <c r="AI215" s="1">
        <v>14</v>
      </c>
      <c r="AJ215" s="1" t="e">
        <v>#N/A</v>
      </c>
      <c r="AK215" s="1" t="e">
        <v>#VALUE!</v>
      </c>
      <c r="AL215" s="1" t="e">
        <v>#N/A</v>
      </c>
      <c r="AM215" s="1">
        <v>2</v>
      </c>
      <c r="AN215" s="1" t="e">
        <v>#N/A</v>
      </c>
      <c r="AO215" s="1">
        <v>14</v>
      </c>
      <c r="AP215" s="1">
        <v>0</v>
      </c>
      <c r="AQ215" s="1" t="e">
        <v>#N/A</v>
      </c>
      <c r="AR215" s="1">
        <v>25</v>
      </c>
      <c r="AS215" s="1" t="s">
        <v>65</v>
      </c>
      <c r="AT215" s="1" t="e">
        <v>#N/A</v>
      </c>
      <c r="AU215" s="1" t="e">
        <v>#N/A</v>
      </c>
      <c r="AV215" s="1">
        <v>0</v>
      </c>
      <c r="AW215" s="1">
        <v>0</v>
      </c>
      <c r="AX215" s="1">
        <v>0</v>
      </c>
      <c r="AY215" s="1" t="e">
        <v>#N/A</v>
      </c>
      <c r="AZ215" s="1">
        <v>0</v>
      </c>
      <c r="BA215" s="1" t="e">
        <v>#N/A</v>
      </c>
      <c r="BB215" s="1">
        <v>0</v>
      </c>
      <c r="BC215" s="1">
        <v>-14</v>
      </c>
      <c r="BD215" s="1">
        <v>0</v>
      </c>
      <c r="BE215" s="1" t="s">
        <v>65</v>
      </c>
      <c r="BF215" s="1">
        <v>84</v>
      </c>
      <c r="BG215" s="1">
        <v>84</v>
      </c>
      <c r="BH215" s="1">
        <v>3</v>
      </c>
      <c r="BI215" s="1" t="e">
        <v>#REF!</v>
      </c>
      <c r="BJ215" s="1" t="e">
        <v>#REF!</v>
      </c>
      <c r="BK215" s="1">
        <v>1</v>
      </c>
      <c r="BM215" s="1">
        <v>0</v>
      </c>
      <c r="BO215" s="1">
        <v>2</v>
      </c>
      <c r="CL215" s="82"/>
      <c r="CM215" s="82"/>
      <c r="CN215" s="82"/>
      <c r="CO215" s="82"/>
      <c r="CP215" s="82" t="s">
        <v>442</v>
      </c>
      <c r="CQ215" s="84">
        <v>44307</v>
      </c>
      <c r="CR215" s="83" t="s">
        <v>531</v>
      </c>
      <c r="CS215" s="93">
        <v>44333</v>
      </c>
      <c r="CT215" s="91" t="s">
        <v>532</v>
      </c>
      <c r="CU215" s="48"/>
      <c r="CV215" s="48"/>
      <c r="CW215" s="49"/>
      <c r="CX215" s="49"/>
    </row>
    <row r="216" spans="1:102" x14ac:dyDescent="0.25">
      <c r="A216" s="88" t="s">
        <v>460</v>
      </c>
      <c r="B216" s="88" t="s">
        <v>461</v>
      </c>
      <c r="C216" s="1" t="s">
        <v>461</v>
      </c>
      <c r="D216" s="2" t="s">
        <v>63</v>
      </c>
      <c r="E216" s="2" t="s">
        <v>63</v>
      </c>
      <c r="F216" s="3" t="s">
        <v>462</v>
      </c>
      <c r="H216" s="1"/>
      <c r="I216" s="88" t="s">
        <v>73</v>
      </c>
      <c r="J216" s="1">
        <v>4234788</v>
      </c>
      <c r="L216" s="2">
        <v>3055</v>
      </c>
      <c r="N216" s="87">
        <v>9</v>
      </c>
      <c r="O216" s="87">
        <v>6</v>
      </c>
      <c r="P216" s="2">
        <v>8</v>
      </c>
      <c r="Q216" s="2">
        <v>4</v>
      </c>
      <c r="R216" s="2">
        <v>4</v>
      </c>
      <c r="S216" s="2">
        <v>0</v>
      </c>
      <c r="X216" s="90">
        <v>2</v>
      </c>
      <c r="Y216" s="1" t="e">
        <v>#N/A</v>
      </c>
      <c r="Z216" s="1" t="e">
        <v>#N/A</v>
      </c>
      <c r="AA216" s="1" t="e">
        <v>#N/A</v>
      </c>
      <c r="AB216" s="1">
        <v>0</v>
      </c>
      <c r="AC216" s="1">
        <v>0</v>
      </c>
      <c r="AD216" s="1">
        <v>0</v>
      </c>
      <c r="AE216" s="1" t="e">
        <v>#N/A</v>
      </c>
      <c r="AF216" s="1" t="e">
        <v>#N/A</v>
      </c>
      <c r="AG216" s="1" t="e">
        <v>#N/A</v>
      </c>
      <c r="AH216" s="1" t="e">
        <v>#N/A</v>
      </c>
      <c r="AI216" s="1">
        <v>14</v>
      </c>
      <c r="AJ216" s="1" t="e">
        <v>#N/A</v>
      </c>
      <c r="AK216" s="1" t="e">
        <v>#VALUE!</v>
      </c>
      <c r="AL216" s="1" t="e">
        <v>#N/A</v>
      </c>
      <c r="AM216" s="1">
        <v>2</v>
      </c>
      <c r="AN216" s="1" t="e">
        <v>#N/A</v>
      </c>
      <c r="AO216" s="1">
        <v>14</v>
      </c>
      <c r="AP216" s="1">
        <v>0</v>
      </c>
      <c r="AQ216" s="1" t="e">
        <v>#N/A</v>
      </c>
      <c r="AR216" s="1">
        <v>25</v>
      </c>
      <c r="AS216" s="1" t="s">
        <v>65</v>
      </c>
      <c r="AT216" s="1" t="e">
        <v>#N/A</v>
      </c>
      <c r="AU216" s="1" t="e">
        <v>#N/A</v>
      </c>
      <c r="AV216" s="1">
        <v>0</v>
      </c>
      <c r="AW216" s="1">
        <v>0</v>
      </c>
      <c r="AX216" s="1">
        <v>0</v>
      </c>
      <c r="AY216" s="1" t="e">
        <v>#N/A</v>
      </c>
      <c r="AZ216" s="1">
        <v>0</v>
      </c>
      <c r="BA216" s="1" t="e">
        <v>#N/A</v>
      </c>
      <c r="BB216" s="1">
        <v>0</v>
      </c>
      <c r="BC216" s="1">
        <v>-14</v>
      </c>
      <c r="BD216" s="1">
        <v>0</v>
      </c>
      <c r="BE216" s="1" t="s">
        <v>65</v>
      </c>
      <c r="BF216" s="1">
        <v>84</v>
      </c>
      <c r="BG216" s="1">
        <v>84</v>
      </c>
      <c r="BH216" s="1">
        <v>3</v>
      </c>
      <c r="BI216" s="1" t="e">
        <v>#REF!</v>
      </c>
      <c r="BJ216" s="1" t="e">
        <v>#REF!</v>
      </c>
      <c r="BK216" s="1">
        <v>1</v>
      </c>
      <c r="BM216" s="1">
        <v>0</v>
      </c>
      <c r="BO216" s="1">
        <v>2</v>
      </c>
      <c r="CL216" s="82"/>
      <c r="CM216" s="82"/>
      <c r="CN216" s="82"/>
      <c r="CO216" s="82"/>
      <c r="CP216" s="82" t="s">
        <v>442</v>
      </c>
      <c r="CQ216" s="84">
        <v>44307</v>
      </c>
      <c r="CR216" s="83" t="s">
        <v>531</v>
      </c>
      <c r="CS216" s="93">
        <v>44333</v>
      </c>
      <c r="CT216" s="91" t="s">
        <v>532</v>
      </c>
      <c r="CU216" s="48"/>
      <c r="CV216" s="48"/>
      <c r="CW216" s="49"/>
      <c r="CX216" s="49"/>
    </row>
    <row r="217" spans="1:102" x14ac:dyDescent="0.25">
      <c r="A217" s="88" t="s">
        <v>460</v>
      </c>
      <c r="B217" s="88" t="s">
        <v>461</v>
      </c>
      <c r="C217" s="1" t="s">
        <v>461</v>
      </c>
      <c r="D217" s="2" t="s">
        <v>63</v>
      </c>
      <c r="E217" s="2" t="s">
        <v>63</v>
      </c>
      <c r="F217" s="3" t="s">
        <v>462</v>
      </c>
      <c r="H217" s="1"/>
      <c r="I217" s="88" t="s">
        <v>59</v>
      </c>
      <c r="J217" s="1">
        <v>4234788</v>
      </c>
      <c r="L217" s="2">
        <v>3055</v>
      </c>
      <c r="N217" s="87">
        <v>9</v>
      </c>
      <c r="O217" s="87">
        <v>6</v>
      </c>
      <c r="P217" s="2">
        <v>8</v>
      </c>
      <c r="Q217" s="2">
        <v>4</v>
      </c>
      <c r="R217" s="2">
        <v>4</v>
      </c>
      <c r="S217" s="2">
        <v>0</v>
      </c>
      <c r="X217" s="90">
        <v>2</v>
      </c>
      <c r="Y217" s="1" t="e">
        <v>#N/A</v>
      </c>
      <c r="Z217" s="1" t="e">
        <v>#N/A</v>
      </c>
      <c r="AA217" s="1" t="e">
        <v>#N/A</v>
      </c>
      <c r="AB217" s="1">
        <v>0</v>
      </c>
      <c r="AC217" s="1">
        <v>0</v>
      </c>
      <c r="AD217" s="1">
        <v>0</v>
      </c>
      <c r="AE217" s="1" t="e">
        <v>#N/A</v>
      </c>
      <c r="AF217" s="1" t="e">
        <v>#N/A</v>
      </c>
      <c r="AG217" s="1" t="e">
        <v>#N/A</v>
      </c>
      <c r="AH217" s="1" t="e">
        <v>#N/A</v>
      </c>
      <c r="AI217" s="1">
        <v>14</v>
      </c>
      <c r="AJ217" s="1" t="e">
        <v>#N/A</v>
      </c>
      <c r="AK217" s="1" t="e">
        <v>#VALUE!</v>
      </c>
      <c r="AL217" s="1" t="e">
        <v>#N/A</v>
      </c>
      <c r="AM217" s="1">
        <v>2</v>
      </c>
      <c r="AN217" s="1" t="e">
        <v>#N/A</v>
      </c>
      <c r="AO217" s="1">
        <v>14</v>
      </c>
      <c r="AP217" s="1">
        <v>0</v>
      </c>
      <c r="AQ217" s="1" t="e">
        <v>#N/A</v>
      </c>
      <c r="AR217" s="1">
        <v>25</v>
      </c>
      <c r="AS217" s="1" t="s">
        <v>65</v>
      </c>
      <c r="AT217" s="1" t="e">
        <v>#N/A</v>
      </c>
      <c r="AU217" s="1" t="e">
        <v>#N/A</v>
      </c>
      <c r="AV217" s="1">
        <v>0</v>
      </c>
      <c r="AW217" s="1">
        <v>0</v>
      </c>
      <c r="AX217" s="1">
        <v>0</v>
      </c>
      <c r="AY217" s="1" t="e">
        <v>#N/A</v>
      </c>
      <c r="AZ217" s="1">
        <v>0</v>
      </c>
      <c r="BA217" s="1" t="e">
        <v>#N/A</v>
      </c>
      <c r="BB217" s="1">
        <v>0</v>
      </c>
      <c r="BC217" s="1">
        <v>-14</v>
      </c>
      <c r="BD217" s="1">
        <v>0</v>
      </c>
      <c r="BE217" s="1" t="s">
        <v>65</v>
      </c>
      <c r="BF217" s="1">
        <v>84</v>
      </c>
      <c r="BG217" s="1">
        <v>84</v>
      </c>
      <c r="BH217" s="1">
        <v>3</v>
      </c>
      <c r="BI217" s="1" t="e">
        <v>#REF!</v>
      </c>
      <c r="BJ217" s="1" t="e">
        <v>#REF!</v>
      </c>
      <c r="BK217" s="1">
        <v>1</v>
      </c>
      <c r="BM217" s="1">
        <v>0</v>
      </c>
      <c r="BO217" s="1">
        <v>2</v>
      </c>
      <c r="CL217" s="82"/>
      <c r="CM217" s="82"/>
      <c r="CN217" s="82"/>
      <c r="CO217" s="82"/>
      <c r="CP217" s="82" t="s">
        <v>442</v>
      </c>
      <c r="CQ217" s="84">
        <v>44307</v>
      </c>
      <c r="CR217" s="83" t="s">
        <v>531</v>
      </c>
      <c r="CS217" s="93">
        <v>44333</v>
      </c>
      <c r="CT217" s="91" t="s">
        <v>532</v>
      </c>
      <c r="CU217" s="48"/>
      <c r="CV217" s="48"/>
      <c r="CW217" s="49"/>
      <c r="CX217" s="49"/>
    </row>
    <row r="218" spans="1:102" x14ac:dyDescent="0.25">
      <c r="A218" s="88" t="s">
        <v>460</v>
      </c>
      <c r="B218" s="88" t="s">
        <v>461</v>
      </c>
      <c r="C218" s="1" t="s">
        <v>461</v>
      </c>
      <c r="D218" s="2" t="s">
        <v>63</v>
      </c>
      <c r="E218" s="2" t="s">
        <v>63</v>
      </c>
      <c r="F218" s="3" t="s">
        <v>462</v>
      </c>
      <c r="H218" s="1"/>
      <c r="I218" s="88" t="s">
        <v>78</v>
      </c>
      <c r="J218" s="1">
        <v>4234788</v>
      </c>
      <c r="L218" s="2">
        <v>3055</v>
      </c>
      <c r="N218" s="87">
        <v>9</v>
      </c>
      <c r="O218" s="87">
        <v>6</v>
      </c>
      <c r="P218" s="2">
        <v>8</v>
      </c>
      <c r="Q218" s="2">
        <v>4</v>
      </c>
      <c r="R218" s="2">
        <v>4</v>
      </c>
      <c r="S218" s="2">
        <v>0</v>
      </c>
      <c r="X218" s="90">
        <v>2</v>
      </c>
      <c r="Y218" s="1" t="e">
        <v>#N/A</v>
      </c>
      <c r="Z218" s="1" t="e">
        <v>#N/A</v>
      </c>
      <c r="AA218" s="1" t="e">
        <v>#N/A</v>
      </c>
      <c r="AB218" s="1">
        <v>0</v>
      </c>
      <c r="AC218" s="1">
        <v>0</v>
      </c>
      <c r="AD218" s="1">
        <v>0</v>
      </c>
      <c r="AE218" s="1" t="e">
        <v>#N/A</v>
      </c>
      <c r="AF218" s="1" t="e">
        <v>#N/A</v>
      </c>
      <c r="AG218" s="1" t="e">
        <v>#N/A</v>
      </c>
      <c r="AH218" s="1" t="e">
        <v>#N/A</v>
      </c>
      <c r="AI218" s="1">
        <v>14</v>
      </c>
      <c r="AJ218" s="1" t="e">
        <v>#N/A</v>
      </c>
      <c r="AK218" s="1" t="e">
        <v>#VALUE!</v>
      </c>
      <c r="AL218" s="1" t="e">
        <v>#N/A</v>
      </c>
      <c r="AM218" s="1">
        <v>2</v>
      </c>
      <c r="AN218" s="1" t="e">
        <v>#N/A</v>
      </c>
      <c r="AO218" s="1">
        <v>14</v>
      </c>
      <c r="AP218" s="1">
        <v>0</v>
      </c>
      <c r="AQ218" s="1" t="e">
        <v>#N/A</v>
      </c>
      <c r="AR218" s="1">
        <v>25</v>
      </c>
      <c r="AS218" s="1" t="s">
        <v>65</v>
      </c>
      <c r="AT218" s="1" t="e">
        <v>#N/A</v>
      </c>
      <c r="AU218" s="1" t="e">
        <v>#N/A</v>
      </c>
      <c r="AV218" s="1">
        <v>0</v>
      </c>
      <c r="AW218" s="1">
        <v>0</v>
      </c>
      <c r="AX218" s="1">
        <v>0</v>
      </c>
      <c r="AY218" s="1" t="e">
        <v>#N/A</v>
      </c>
      <c r="AZ218" s="1">
        <v>0</v>
      </c>
      <c r="BA218" s="1" t="e">
        <v>#N/A</v>
      </c>
      <c r="BB218" s="1">
        <v>0</v>
      </c>
      <c r="BC218" s="1">
        <v>-14</v>
      </c>
      <c r="BD218" s="1">
        <v>0</v>
      </c>
      <c r="BE218" s="1" t="s">
        <v>65</v>
      </c>
      <c r="BF218" s="1">
        <v>84</v>
      </c>
      <c r="BG218" s="1">
        <v>84</v>
      </c>
      <c r="BH218" s="1">
        <v>3</v>
      </c>
      <c r="BI218" s="1" t="e">
        <v>#REF!</v>
      </c>
      <c r="BJ218" s="1" t="e">
        <v>#REF!</v>
      </c>
      <c r="BK218" s="1">
        <v>1</v>
      </c>
      <c r="BM218" s="1">
        <v>0</v>
      </c>
      <c r="BO218" s="1">
        <v>2</v>
      </c>
      <c r="CL218" s="82"/>
      <c r="CM218" s="82"/>
      <c r="CN218" s="82"/>
      <c r="CO218" s="82"/>
      <c r="CP218" s="82" t="s">
        <v>442</v>
      </c>
      <c r="CQ218" s="84">
        <v>44307</v>
      </c>
      <c r="CR218" s="83" t="s">
        <v>531</v>
      </c>
      <c r="CS218" s="93">
        <v>44333</v>
      </c>
      <c r="CT218" s="91" t="s">
        <v>532</v>
      </c>
      <c r="CU218" s="48"/>
      <c r="CV218" s="48"/>
      <c r="CW218" s="49"/>
      <c r="CX218" s="49"/>
    </row>
    <row r="219" spans="1:102" x14ac:dyDescent="0.25">
      <c r="A219" s="88" t="s">
        <v>460</v>
      </c>
      <c r="B219" s="88" t="s">
        <v>461</v>
      </c>
      <c r="C219" s="1" t="s">
        <v>461</v>
      </c>
      <c r="D219" s="2" t="s">
        <v>63</v>
      </c>
      <c r="E219" s="2" t="s">
        <v>63</v>
      </c>
      <c r="F219" s="3" t="s">
        <v>462</v>
      </c>
      <c r="H219" s="1"/>
      <c r="I219" s="88" t="s">
        <v>135</v>
      </c>
      <c r="J219" s="1">
        <v>4234788</v>
      </c>
      <c r="L219" s="2">
        <v>3055</v>
      </c>
      <c r="N219" s="87">
        <v>9</v>
      </c>
      <c r="O219" s="87">
        <v>6</v>
      </c>
      <c r="P219" s="2">
        <v>8</v>
      </c>
      <c r="Q219" s="2">
        <v>4</v>
      </c>
      <c r="R219" s="2">
        <v>4</v>
      </c>
      <c r="S219" s="2">
        <v>0</v>
      </c>
      <c r="X219" s="90">
        <v>2</v>
      </c>
      <c r="Y219" s="1" t="e">
        <v>#N/A</v>
      </c>
      <c r="Z219" s="1" t="e">
        <v>#N/A</v>
      </c>
      <c r="AA219" s="1" t="e">
        <v>#N/A</v>
      </c>
      <c r="AB219" s="1">
        <v>0</v>
      </c>
      <c r="AC219" s="1">
        <v>0</v>
      </c>
      <c r="AD219" s="1">
        <v>0</v>
      </c>
      <c r="AE219" s="1" t="e">
        <v>#N/A</v>
      </c>
      <c r="AF219" s="1" t="e">
        <v>#N/A</v>
      </c>
      <c r="AG219" s="1" t="e">
        <v>#N/A</v>
      </c>
      <c r="AH219" s="1" t="e">
        <v>#N/A</v>
      </c>
      <c r="AI219" s="1">
        <v>14</v>
      </c>
      <c r="AJ219" s="1" t="e">
        <v>#N/A</v>
      </c>
      <c r="AK219" s="1" t="e">
        <v>#VALUE!</v>
      </c>
      <c r="AL219" s="1" t="e">
        <v>#N/A</v>
      </c>
      <c r="AM219" s="1">
        <v>2</v>
      </c>
      <c r="AN219" s="1" t="e">
        <v>#N/A</v>
      </c>
      <c r="AO219" s="1">
        <v>14</v>
      </c>
      <c r="AP219" s="1">
        <v>0</v>
      </c>
      <c r="AQ219" s="1" t="e">
        <v>#N/A</v>
      </c>
      <c r="AR219" s="1">
        <v>25</v>
      </c>
      <c r="AS219" s="1" t="s">
        <v>65</v>
      </c>
      <c r="AT219" s="1" t="e">
        <v>#N/A</v>
      </c>
      <c r="AU219" s="1" t="e">
        <v>#N/A</v>
      </c>
      <c r="AV219" s="1">
        <v>0</v>
      </c>
      <c r="AW219" s="1">
        <v>0</v>
      </c>
      <c r="AX219" s="1">
        <v>0</v>
      </c>
      <c r="AY219" s="1" t="e">
        <v>#N/A</v>
      </c>
      <c r="AZ219" s="1">
        <v>0</v>
      </c>
      <c r="BA219" s="1" t="e">
        <v>#N/A</v>
      </c>
      <c r="BB219" s="1">
        <v>0</v>
      </c>
      <c r="BC219" s="1">
        <v>-14</v>
      </c>
      <c r="BD219" s="1">
        <v>0</v>
      </c>
      <c r="BE219" s="1" t="s">
        <v>65</v>
      </c>
      <c r="BF219" s="1">
        <v>84</v>
      </c>
      <c r="BG219" s="1">
        <v>84</v>
      </c>
      <c r="BH219" s="1">
        <v>3</v>
      </c>
      <c r="BI219" s="1" t="e">
        <v>#REF!</v>
      </c>
      <c r="BJ219" s="1" t="e">
        <v>#REF!</v>
      </c>
      <c r="BK219" s="1">
        <v>1</v>
      </c>
      <c r="BM219" s="1">
        <v>0</v>
      </c>
      <c r="BO219" s="1">
        <v>2</v>
      </c>
      <c r="CL219" s="82"/>
      <c r="CM219" s="82"/>
      <c r="CN219" s="82"/>
      <c r="CO219" s="82"/>
      <c r="CP219" s="82" t="s">
        <v>442</v>
      </c>
      <c r="CQ219" s="84">
        <v>44307</v>
      </c>
      <c r="CR219" s="83" t="s">
        <v>531</v>
      </c>
      <c r="CS219" s="93">
        <v>44333</v>
      </c>
      <c r="CT219" s="91" t="s">
        <v>532</v>
      </c>
      <c r="CU219" s="48"/>
      <c r="CV219" s="48"/>
      <c r="CW219" s="49"/>
      <c r="CX219" s="49"/>
    </row>
    <row r="220" spans="1:102" x14ac:dyDescent="0.25">
      <c r="A220" s="88" t="s">
        <v>460</v>
      </c>
      <c r="B220" s="88" t="s">
        <v>461</v>
      </c>
      <c r="C220" s="1" t="s">
        <v>461</v>
      </c>
      <c r="D220" s="2" t="s">
        <v>63</v>
      </c>
      <c r="E220" s="2" t="s">
        <v>63</v>
      </c>
      <c r="F220" s="3" t="s">
        <v>462</v>
      </c>
      <c r="H220" s="1"/>
      <c r="I220" s="88" t="s">
        <v>141</v>
      </c>
      <c r="L220" s="2">
        <v>3055</v>
      </c>
      <c r="N220" s="87">
        <v>9</v>
      </c>
      <c r="O220" s="87">
        <v>6</v>
      </c>
      <c r="P220" s="2">
        <v>8</v>
      </c>
      <c r="Q220" s="2">
        <v>4</v>
      </c>
      <c r="R220" s="2">
        <v>4</v>
      </c>
      <c r="S220" s="2">
        <v>0</v>
      </c>
      <c r="X220" s="90">
        <v>2</v>
      </c>
      <c r="Y220" s="1" t="e">
        <v>#N/A</v>
      </c>
      <c r="Z220" s="1" t="e">
        <v>#N/A</v>
      </c>
      <c r="AA220" s="1" t="e">
        <v>#N/A</v>
      </c>
      <c r="AB220" s="1">
        <v>0</v>
      </c>
      <c r="AC220" s="1">
        <v>0</v>
      </c>
      <c r="AD220" s="1">
        <v>0</v>
      </c>
      <c r="AE220" s="1" t="e">
        <v>#N/A</v>
      </c>
      <c r="AF220" s="1" t="e">
        <v>#N/A</v>
      </c>
      <c r="AG220" s="1" t="e">
        <v>#N/A</v>
      </c>
      <c r="AH220" s="1" t="e">
        <v>#N/A</v>
      </c>
      <c r="AI220" s="1">
        <v>14</v>
      </c>
      <c r="AJ220" s="1" t="e">
        <v>#N/A</v>
      </c>
      <c r="AK220" s="1" t="e">
        <v>#VALUE!</v>
      </c>
      <c r="AL220" s="1" t="e">
        <v>#N/A</v>
      </c>
      <c r="AM220" s="1">
        <v>2</v>
      </c>
      <c r="AN220" s="1" t="e">
        <v>#N/A</v>
      </c>
      <c r="AO220" s="1">
        <v>14</v>
      </c>
      <c r="AP220" s="1">
        <v>0</v>
      </c>
      <c r="AQ220" s="1" t="e">
        <v>#N/A</v>
      </c>
      <c r="AR220" s="1">
        <v>25</v>
      </c>
      <c r="AS220" s="1" t="s">
        <v>65</v>
      </c>
      <c r="AT220" s="1" t="e">
        <v>#N/A</v>
      </c>
      <c r="AU220" s="1" t="e">
        <v>#N/A</v>
      </c>
      <c r="AV220" s="1">
        <v>0</v>
      </c>
      <c r="AW220" s="1">
        <v>0</v>
      </c>
      <c r="AX220" s="1">
        <v>0</v>
      </c>
      <c r="AY220" s="1" t="e">
        <v>#N/A</v>
      </c>
      <c r="AZ220" s="1">
        <v>0</v>
      </c>
      <c r="BA220" s="1" t="e">
        <v>#N/A</v>
      </c>
      <c r="BB220" s="1">
        <v>0</v>
      </c>
      <c r="BC220" s="1">
        <v>-14</v>
      </c>
      <c r="BD220" s="1">
        <v>0</v>
      </c>
      <c r="BE220" s="1" t="s">
        <v>65</v>
      </c>
      <c r="BF220" s="1">
        <v>84</v>
      </c>
      <c r="BG220" s="1">
        <v>84</v>
      </c>
      <c r="BH220" s="1">
        <v>3</v>
      </c>
      <c r="BI220" s="1" t="e">
        <v>#REF!</v>
      </c>
      <c r="BJ220" s="1" t="e">
        <v>#REF!</v>
      </c>
      <c r="BK220" s="1">
        <v>1</v>
      </c>
      <c r="BM220" s="1">
        <v>0</v>
      </c>
      <c r="BO220" s="1">
        <v>2</v>
      </c>
      <c r="CL220" s="82"/>
      <c r="CM220" s="82"/>
      <c r="CN220" s="82"/>
      <c r="CO220" s="82"/>
      <c r="CP220" s="82" t="s">
        <v>442</v>
      </c>
      <c r="CQ220" s="84">
        <v>44307</v>
      </c>
      <c r="CR220" s="83" t="s">
        <v>531</v>
      </c>
      <c r="CS220" s="93">
        <v>44333</v>
      </c>
      <c r="CT220" s="91" t="s">
        <v>532</v>
      </c>
      <c r="CU220" s="46"/>
      <c r="CV220" s="48"/>
      <c r="CW220" s="49"/>
      <c r="CX220" s="49"/>
    </row>
    <row r="221" spans="1:102" x14ac:dyDescent="0.25">
      <c r="A221" s="88" t="s">
        <v>460</v>
      </c>
      <c r="B221" s="88" t="s">
        <v>461</v>
      </c>
      <c r="C221" s="1" t="s">
        <v>461</v>
      </c>
      <c r="D221" s="2" t="s">
        <v>63</v>
      </c>
      <c r="E221" s="2" t="s">
        <v>63</v>
      </c>
      <c r="F221" s="3" t="s">
        <v>462</v>
      </c>
      <c r="H221" s="1"/>
      <c r="I221" s="88" t="s">
        <v>179</v>
      </c>
      <c r="J221" s="1">
        <v>4234788</v>
      </c>
      <c r="L221" s="2">
        <v>3055</v>
      </c>
      <c r="N221" s="87">
        <v>9</v>
      </c>
      <c r="O221" s="87">
        <v>6</v>
      </c>
      <c r="P221" s="2">
        <v>8</v>
      </c>
      <c r="Q221" s="2">
        <v>4</v>
      </c>
      <c r="R221" s="2">
        <v>4</v>
      </c>
      <c r="S221" s="2">
        <v>0</v>
      </c>
      <c r="X221" s="90">
        <v>2</v>
      </c>
      <c r="Y221" s="1" t="e">
        <v>#N/A</v>
      </c>
      <c r="Z221" s="1" t="e">
        <v>#N/A</v>
      </c>
      <c r="AA221" s="1" t="e">
        <v>#N/A</v>
      </c>
      <c r="AB221" s="1">
        <v>0</v>
      </c>
      <c r="AC221" s="1">
        <v>0</v>
      </c>
      <c r="AD221" s="1">
        <v>0</v>
      </c>
      <c r="AE221" s="1" t="e">
        <v>#N/A</v>
      </c>
      <c r="AF221" s="1" t="e">
        <v>#N/A</v>
      </c>
      <c r="AG221" s="1" t="e">
        <v>#N/A</v>
      </c>
      <c r="AH221" s="1" t="e">
        <v>#N/A</v>
      </c>
      <c r="AI221" s="1">
        <v>14</v>
      </c>
      <c r="AJ221" s="1" t="e">
        <v>#N/A</v>
      </c>
      <c r="AK221" s="1" t="e">
        <v>#VALUE!</v>
      </c>
      <c r="AL221" s="1" t="e">
        <v>#N/A</v>
      </c>
      <c r="AM221" s="1">
        <v>2</v>
      </c>
      <c r="AN221" s="1" t="e">
        <v>#N/A</v>
      </c>
      <c r="AO221" s="1">
        <v>14</v>
      </c>
      <c r="AP221" s="1">
        <v>0</v>
      </c>
      <c r="AQ221" s="1" t="e">
        <v>#N/A</v>
      </c>
      <c r="AR221" s="1">
        <v>25</v>
      </c>
      <c r="AS221" s="1" t="s">
        <v>65</v>
      </c>
      <c r="AT221" s="1" t="e">
        <v>#N/A</v>
      </c>
      <c r="AU221" s="1" t="e">
        <v>#N/A</v>
      </c>
      <c r="AV221" s="1">
        <v>0</v>
      </c>
      <c r="AW221" s="1">
        <v>0</v>
      </c>
      <c r="AX221" s="1">
        <v>0</v>
      </c>
      <c r="AY221" s="1" t="e">
        <v>#N/A</v>
      </c>
      <c r="AZ221" s="1">
        <v>0</v>
      </c>
      <c r="BA221" s="1" t="e">
        <v>#N/A</v>
      </c>
      <c r="BB221" s="1">
        <v>0</v>
      </c>
      <c r="BC221" s="1">
        <v>-14</v>
      </c>
      <c r="BD221" s="1">
        <v>0</v>
      </c>
      <c r="BE221" s="1" t="s">
        <v>65</v>
      </c>
      <c r="BF221" s="1">
        <v>84</v>
      </c>
      <c r="BG221" s="1">
        <v>84</v>
      </c>
      <c r="BH221" s="1">
        <v>3</v>
      </c>
      <c r="BI221" s="1" t="e">
        <v>#REF!</v>
      </c>
      <c r="BJ221" s="1" t="e">
        <v>#REF!</v>
      </c>
      <c r="BK221" s="1">
        <v>1</v>
      </c>
      <c r="BM221" s="1">
        <v>0</v>
      </c>
      <c r="BO221" s="1">
        <v>2</v>
      </c>
      <c r="CL221" s="82"/>
      <c r="CM221" s="82"/>
      <c r="CN221" s="82"/>
      <c r="CO221" s="82"/>
      <c r="CP221" s="82" t="s">
        <v>442</v>
      </c>
      <c r="CQ221" s="84">
        <v>44307</v>
      </c>
      <c r="CR221" s="83" t="s">
        <v>531</v>
      </c>
      <c r="CS221" s="93">
        <v>44333</v>
      </c>
      <c r="CT221" s="91" t="s">
        <v>532</v>
      </c>
      <c r="CU221" s="48"/>
      <c r="CV221" s="48"/>
      <c r="CW221" s="49"/>
      <c r="CX221" s="49"/>
    </row>
    <row r="222" spans="1:102" hidden="1" x14ac:dyDescent="0.25">
      <c r="A222" s="1" t="s">
        <v>270</v>
      </c>
      <c r="B222" s="1" t="s">
        <v>271</v>
      </c>
      <c r="C222" s="1" t="s">
        <v>271</v>
      </c>
      <c r="D222" s="2" t="s">
        <v>58</v>
      </c>
      <c r="E222" s="2" t="s">
        <v>58</v>
      </c>
      <c r="F222" s="3" t="e">
        <f>IF(BE222="S",
IF(#REF!+BM222=2018,
IF(#REF!=1,"18-19/1",
IF(#REF!=2,"18-19/2",
IF(#REF!=3,"19-20/1",
IF(#REF!=4,"19-20/2",
IF(#REF!=5,"20-21/1",
IF(#REF!=6,"20-21/2",
IF(#REF!=7,"21-22/1",
IF(#REF!=8,"21-22/2","Hata1")))))))),
IF(#REF!+BM222=2019,
IF(#REF!=1,"19-20/1",
IF(#REF!=2,"19-20/2",
IF(#REF!=3,"20-21/1",
IF(#REF!=4,"20-21/2",
IF(#REF!=5,"21-22/1",
IF(#REF!=6,"21-22/2",
IF(#REF!=7,"22-23/1",
IF(#REF!=8,"22-23/2","Hata2")))))))),
IF(#REF!+BM222=2020,
IF(#REF!=1,"20-21/1",
IF(#REF!=2,"20-21/2",
IF(#REF!=3,"21-22/1",
IF(#REF!=4,"21-22/2",
IF(#REF!=5,"22-23/1",
IF(#REF!=6,"22-23/2",
IF(#REF!=7,"23-24/1",
IF(#REF!=8,"23-24/2","Hata3")))))))),
IF(#REF!+BM222=2021,
IF(#REF!=1,"21-22/1",
IF(#REF!=2,"21-22/2",
IF(#REF!=3,"22-23/1",
IF(#REF!=4,"22-23/2",
IF(#REF!=5,"23-24/1",
IF(#REF!=6,"23-24/2",
IF(#REF!=7,"24-25/1",
IF(#REF!=8,"24-25/2","Hata4")))))))),
IF(#REF!+BM222=2022,
IF(#REF!=1,"22-23/1",
IF(#REF!=2,"22-23/2",
IF(#REF!=3,"23-24/1",
IF(#REF!=4,"23-24/2",
IF(#REF!=5,"24-25/1",
IF(#REF!=6,"24-25/2",
IF(#REF!=7,"25-26/1",
IF(#REF!=8,"25-26/2","Hata5")))))))),
IF(#REF!+BM222=2023,
IF(#REF!=1,"23-24/1",
IF(#REF!=2,"23-24/2",
IF(#REF!=3,"24-25/1",
IF(#REF!=4,"24-25/2",
IF(#REF!=5,"25-26/1",
IF(#REF!=6,"25-26/2",
IF(#REF!=7,"26-27/1",
IF(#REF!=8,"26-27/2","Hata6")))))))),
)))))),
IF(BE222="T",
IF(#REF!+BM222=2018,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IF(#REF!+BM222=2019,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IF(#REF!+BM222=2020,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IF(#REF!+BM222=2021,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IF(#REF!+BM222=2022,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IF(#REF!+BM222=2023,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22" s="1" t="s">
        <v>145</v>
      </c>
      <c r="J222" s="1">
        <v>4234778</v>
      </c>
      <c r="N222" s="2">
        <v>4</v>
      </c>
      <c r="O222" s="6">
        <f>(S222)+(R222/2)+(Q222)</f>
        <v>3</v>
      </c>
      <c r="P222" s="2">
        <f t="shared" ref="P222:P230" si="149">Q222+R222+S222</f>
        <v>3</v>
      </c>
      <c r="Q222" s="2">
        <v>0</v>
      </c>
      <c r="R222" s="2">
        <v>0</v>
      </c>
      <c r="S222" s="2">
        <v>3</v>
      </c>
      <c r="X222" s="3">
        <v>2</v>
      </c>
      <c r="Y222" s="1">
        <f>VLOOKUP($X222,[27]ölçme_sistemleri!I:L,2,FALSE)</f>
        <v>0</v>
      </c>
      <c r="Z222" s="1">
        <f>VLOOKUP($X222,[27]ölçme_sistemleri!I:L,3,FALSE)</f>
        <v>2</v>
      </c>
      <c r="AA222" s="1">
        <f>VLOOKUP($X222,[27]ölçme_sistemleri!I:L,4,FALSE)</f>
        <v>1</v>
      </c>
      <c r="AB222" s="1">
        <f>$O222*[27]ölçme_sistemleri!J$13</f>
        <v>3</v>
      </c>
      <c r="AC222" s="1">
        <f>$O222*[27]ölçme_sistemleri!K$13</f>
        <v>6</v>
      </c>
      <c r="AD222" s="1">
        <f>$O222*[27]ölçme_sistemleri!L$13</f>
        <v>9</v>
      </c>
      <c r="AE222" s="1">
        <f t="shared" ref="AE222:AE230" si="150">Y222*AB222</f>
        <v>0</v>
      </c>
      <c r="AF222" s="1">
        <f t="shared" ref="AF222:AF230" si="151">Z222*AC222</f>
        <v>12</v>
      </c>
      <c r="AG222" s="1">
        <f t="shared" ref="AG222:AG230" si="152">AA222*AD222</f>
        <v>9</v>
      </c>
      <c r="AH222" s="1">
        <f t="shared" ref="AH222:AH230" si="153">SUM(AE222:AG222)</f>
        <v>21</v>
      </c>
      <c r="AI222" s="1">
        <v>14</v>
      </c>
      <c r="AJ222" s="1">
        <f>VLOOKUP(X222,[27]ölçme_sistemleri!I:M,5,FALSE)</f>
        <v>2</v>
      </c>
      <c r="AK222" s="1">
        <f>SUM(AE222,AF222,AG222)*AI222</f>
        <v>294</v>
      </c>
      <c r="AL222" s="1">
        <f>AI222*2</f>
        <v>28</v>
      </c>
      <c r="AM222" s="1">
        <f>VLOOKUP(X222,[27]ölçme_sistemleri!I:N,6,FALSE)</f>
        <v>3</v>
      </c>
      <c r="AN222" s="1">
        <v>2</v>
      </c>
      <c r="AO222" s="1">
        <f>AM222*AN222</f>
        <v>6</v>
      </c>
      <c r="AP222" s="1">
        <v>14</v>
      </c>
      <c r="AQ222" s="1">
        <f>AP222*P222</f>
        <v>42</v>
      </c>
      <c r="AR222" s="1">
        <f>AQ222+AO222+AL222+AE222+AF222+AG222</f>
        <v>97</v>
      </c>
      <c r="AS222" s="1">
        <f>IF(BE222="s",25,25)</f>
        <v>25</v>
      </c>
      <c r="AT222" s="1">
        <f>ROUND(AR222/AS222,0)</f>
        <v>4</v>
      </c>
      <c r="AU222" s="1">
        <f>ROUND(AT222-N222,0)</f>
        <v>0</v>
      </c>
      <c r="AV222" s="1">
        <f>IF(BE222="s",IF(W222=0,0,
IF(W222=1,N222*4*4,
IF(W222=2,0,
IF(W222=3,N222*4*2,
IF(W222=4,0,
IF(W222=5,0,
IF(W222=6,0,
IF(W222=7,0)))))))),
IF(BE222="t",
IF(W222=0,0,
IF(W222=1,N222*4*4*0.8,
IF(W222=2,0,
IF(W222=3,N222*4*2*0.8,
IF(W222=4,0,
IF(W222=5,0,
IF(W222=6,0,
IF(W222=7,0))))))))))</f>
        <v>0</v>
      </c>
      <c r="AW222" s="1">
        <f>IF(BE222="s",
IF(W222=0,0,
IF(W222=1,0,
IF(W222=2,N222*4*2,
IF(W222=3,N222*4,
IF(W222=4,N222*4,
IF(W222=5,0,
IF(W222=6,0,
IF(W222=7,N222*4)))))))),
IF(BE222="t",
IF(W222=0,0,
IF(W222=1,0,
IF(W222=2,N222*4*2*0.8,
IF(W222=3,N222*4*0.8,
IF(W222=4,N222*4*0.8,
IF(W222=5,0,
IF(W222=6,0,
IF(W222=7,N222*4))))))))))</f>
        <v>0</v>
      </c>
      <c r="AX222" s="1">
        <f>IF(BE222="s",
IF(W222=0,0,
IF(W222=1,N222*2,
IF(W222=2,N222*2,
IF(W222=3,N222*2,
IF(W222=4,N222*2,
IF(W222=5,N222*2,
IF(W222=6,N222*2,
IF(W222=7,N222*2)))))))),
IF(BE222="t",
IF(W222=0,O222*2*0.8,
IF(W222=1,N222*2*0.8,
IF(W222=2,N222*2*0.8,
IF(W222=3,N222*2*0.8,
IF(W222=4,N222*2*0.8,
IF(W222=5,N222*2*0.8,
IF(W222=6,N222*1*0.8,
IF(W222=7,N222*2))))))))))</f>
        <v>0</v>
      </c>
      <c r="AY222" s="1">
        <f t="shared" ref="AY222:AY230" si="154">SUM(AV222:AX222)-SUM(AD222:AF222)</f>
        <v>-21</v>
      </c>
      <c r="AZ222" s="1">
        <f>IF(BE222="s",
IF(W222=0,0,
IF(W222=1,(14-2)*(P222+R222)/4*4,
IF(W222=2,(14-2)*(P222+R222)/4*2,
IF(W222=3,(14-2)*(P222+R222)/4*3,
IF(W222=4,(14-2)*(P222+R222)/4,
IF(W222=5,(14-2)*N222/4,
IF(W222=6,0,
IF(W222=7,(14)*R222)))))))),
IF(BE222="t",
IF(W222=0,0,
IF(W222=1,(11-2)*(P222+R222)/4*4,
IF(W222=2,(11-2)*(P222+R222)/4*2,
IF(W222=3,(11-2)*(P222+R222)/4*3,
IF(W222=4,(11-2)*(P222+R222)/4,
IF(W222=5,(11-2)*N222/4,
IF(W222=6,0,
IF(W222=7,(11)*N222))))))))))</f>
        <v>0</v>
      </c>
      <c r="BA222" s="1">
        <f t="shared" ref="BA222:BA230" si="155">AZ222-AL222</f>
        <v>-28</v>
      </c>
      <c r="BB222" s="1">
        <f>IF(BE222="s",
IF(W222=0,0,
IF(W222=1,4*5,
IF(W222=2,4*3,
IF(W222=3,4*4,
IF(W222=4,4*2,
IF(W222=5,4,
IF(W222=6,4/2,
IF(W222=7,4*2,)))))))),
IF(BE222="t",
IF(W222=0,0,
IF(W222=1,4*5,
IF(W222=2,4*3,
IF(W222=3,4*4,
IF(W222=4,4*2,
IF(W222=5,4,
IF(W222=6,4/2,
IF(W222=7,4*2))))))))))</f>
        <v>0</v>
      </c>
      <c r="BC222" s="1">
        <f t="shared" ref="BC222:BC230" si="156">BB222-AO222</f>
        <v>-6</v>
      </c>
      <c r="BD222" s="1">
        <f t="shared" ref="BD222:BD230" si="157">AV222+AW222+AX222+(IF(BK222=1,(AZ222)*2,AZ222))+BB222</f>
        <v>0</v>
      </c>
      <c r="BE222" s="1" t="s">
        <v>65</v>
      </c>
      <c r="BF222" s="1">
        <f t="shared" ref="BF222:BF230" si="158">IF(BL222="A",0,IF(BE222="s",14*O222,IF(BE222="T",11*O222,"HATA")))</f>
        <v>42</v>
      </c>
      <c r="BG222" s="1">
        <f t="shared" ref="BG222:BG230" si="159">IF(BL222="Z",(BF222+BD222)*1.15,(BF222+BD222))</f>
        <v>42</v>
      </c>
      <c r="BH222" s="1">
        <f t="shared" ref="BH222:BH230" si="160">IF(BE222="s",ROUND(BG222/30,0),IF(BE222="T",ROUND(BG222/25,0),"HATA"))</f>
        <v>1</v>
      </c>
      <c r="BI222" s="1" t="e">
        <f>IF(BH222-#REF!=0,"DOĞRU","YANLIŞ")</f>
        <v>#REF!</v>
      </c>
      <c r="BJ222" s="1" t="e">
        <f>#REF!-BH222</f>
        <v>#REF!</v>
      </c>
      <c r="BK222" s="1">
        <v>0</v>
      </c>
      <c r="BM222" s="1">
        <v>0</v>
      </c>
      <c r="BO222" s="1">
        <v>4</v>
      </c>
      <c r="BT222" s="8">
        <f>R222*14</f>
        <v>0</v>
      </c>
      <c r="BU222" s="9"/>
      <c r="BV222" s="10"/>
      <c r="BW222" s="11"/>
      <c r="BX222" s="11"/>
      <c r="BY222" s="11"/>
      <c r="BZ222" s="11"/>
      <c r="CA222" s="11"/>
      <c r="CB222" s="12"/>
      <c r="CC222" s="13"/>
      <c r="CD222" s="14"/>
      <c r="CL222" s="11"/>
      <c r="CM222" s="11"/>
      <c r="CN222" s="11"/>
      <c r="CO222" s="11"/>
      <c r="CP222" s="11"/>
      <c r="CQ222" s="46"/>
      <c r="CR222" s="46"/>
      <c r="CS222" s="48"/>
      <c r="CT222" s="48"/>
      <c r="CU222" s="48"/>
      <c r="CV222" s="48"/>
      <c r="CW222" s="49"/>
      <c r="CX222" s="49"/>
    </row>
    <row r="223" spans="1:102" hidden="1" x14ac:dyDescent="0.25">
      <c r="A223" s="1" t="s">
        <v>245</v>
      </c>
      <c r="B223" s="1" t="s">
        <v>246</v>
      </c>
      <c r="C223" s="1" t="s">
        <v>246</v>
      </c>
      <c r="D223" s="2" t="s">
        <v>63</v>
      </c>
      <c r="E223" s="2" t="s">
        <v>63</v>
      </c>
      <c r="F223" s="3" t="e">
        <f>IF(BE223="S",
IF(#REF!+BM223=2018,
IF(#REF!=1,"18-19/1",
IF(#REF!=2,"18-19/2",
IF(#REF!=3,"19-20/1",
IF(#REF!=4,"19-20/2",
IF(#REF!=5,"20-21/1",
IF(#REF!=6,"20-21/2",
IF(#REF!=7,"21-22/1",
IF(#REF!=8,"21-22/2","Hata1")))))))),
IF(#REF!+BM223=2019,
IF(#REF!=1,"19-20/1",
IF(#REF!=2,"19-20/2",
IF(#REF!=3,"20-21/1",
IF(#REF!=4,"20-21/2",
IF(#REF!=5,"21-22/1",
IF(#REF!=6,"21-22/2",
IF(#REF!=7,"22-23/1",
IF(#REF!=8,"22-23/2","Hata2")))))))),
IF(#REF!+BM223=2020,
IF(#REF!=1,"20-21/1",
IF(#REF!=2,"20-21/2",
IF(#REF!=3,"21-22/1",
IF(#REF!=4,"21-22/2",
IF(#REF!=5,"22-23/1",
IF(#REF!=6,"22-23/2",
IF(#REF!=7,"23-24/1",
IF(#REF!=8,"23-24/2","Hata3")))))))),
IF(#REF!+BM223=2021,
IF(#REF!=1,"21-22/1",
IF(#REF!=2,"21-22/2",
IF(#REF!=3,"22-23/1",
IF(#REF!=4,"22-23/2",
IF(#REF!=5,"23-24/1",
IF(#REF!=6,"23-24/2",
IF(#REF!=7,"24-25/1",
IF(#REF!=8,"24-25/2","Hata4")))))))),
IF(#REF!+BM223=2022,
IF(#REF!=1,"22-23/1",
IF(#REF!=2,"22-23/2",
IF(#REF!=3,"23-24/1",
IF(#REF!=4,"23-24/2",
IF(#REF!=5,"24-25/1",
IF(#REF!=6,"24-25/2",
IF(#REF!=7,"25-26/1",
IF(#REF!=8,"25-26/2","Hata5")))))))),
IF(#REF!+BM223=2023,
IF(#REF!=1,"23-24/1",
IF(#REF!=2,"23-24/2",
IF(#REF!=3,"24-25/1",
IF(#REF!=4,"24-25/2",
IF(#REF!=5,"25-26/1",
IF(#REF!=6,"25-26/2",
IF(#REF!=7,"26-27/1",
IF(#REF!=8,"26-27/2","Hata6")))))))),
)))))),
IF(BE223="T",
IF(#REF!+BM223=2018,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IF(#REF!+BM223=2019,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IF(#REF!+BM223=2020,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IF(#REF!+BM223=2021,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IF(#REF!+BM223=2022,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IF(#REF!+BM223=2023,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23" s="1" t="s">
        <v>145</v>
      </c>
      <c r="J223" s="1">
        <v>4234778</v>
      </c>
      <c r="L223" s="2">
        <v>3493</v>
      </c>
      <c r="N223" s="2">
        <v>4</v>
      </c>
      <c r="O223" s="6">
        <f>(S223)+(R223/2)+(Q223)</f>
        <v>2</v>
      </c>
      <c r="P223" s="2">
        <f t="shared" si="149"/>
        <v>2</v>
      </c>
      <c r="Q223" s="2">
        <v>0</v>
      </c>
      <c r="R223" s="2">
        <v>0</v>
      </c>
      <c r="S223" s="2">
        <v>2</v>
      </c>
      <c r="X223" s="3">
        <v>4</v>
      </c>
      <c r="Y223" s="1">
        <f>VLOOKUP($X223,[26]ölçme_sistemleri!I:L,2,FALSE)</f>
        <v>0</v>
      </c>
      <c r="Z223" s="1">
        <f>VLOOKUP($X223,[26]ölçme_sistemleri!I:L,3,FALSE)</f>
        <v>1</v>
      </c>
      <c r="AA223" s="1">
        <f>VLOOKUP($X223,[26]ölçme_sistemleri!I:L,4,FALSE)</f>
        <v>1</v>
      </c>
      <c r="AB223" s="1">
        <f>$O223*[26]ölçme_sistemleri!J$13</f>
        <v>2</v>
      </c>
      <c r="AC223" s="1">
        <f>$O223*[26]ölçme_sistemleri!K$13</f>
        <v>4</v>
      </c>
      <c r="AD223" s="1">
        <f>$O223*[26]ölçme_sistemleri!L$13</f>
        <v>6</v>
      </c>
      <c r="AE223" s="1">
        <f t="shared" si="150"/>
        <v>0</v>
      </c>
      <c r="AF223" s="1">
        <f t="shared" si="151"/>
        <v>4</v>
      </c>
      <c r="AG223" s="1">
        <f t="shared" si="152"/>
        <v>6</v>
      </c>
      <c r="AH223" s="1">
        <f t="shared" si="153"/>
        <v>10</v>
      </c>
      <c r="AI223" s="1">
        <v>14</v>
      </c>
      <c r="AJ223" s="1">
        <f>VLOOKUP(X223,[26]ölçme_sistemleri!I:M,5,FALSE)</f>
        <v>1</v>
      </c>
      <c r="AK223" s="1">
        <f>SUM(AE223,AF223,AG223)*AI223</f>
        <v>140</v>
      </c>
      <c r="AL223" s="1">
        <f>AI223*4</f>
        <v>56</v>
      </c>
      <c r="AM223" s="1">
        <f>VLOOKUP(X223,[26]ölçme_sistemleri!I:N,6,FALSE)</f>
        <v>2</v>
      </c>
      <c r="AN223" s="1">
        <v>2</v>
      </c>
      <c r="AO223" s="1">
        <f>AM223*AN223</f>
        <v>4</v>
      </c>
      <c r="AP223" s="1">
        <v>14</v>
      </c>
      <c r="AQ223" s="1">
        <f>AP223*P223</f>
        <v>28</v>
      </c>
      <c r="AR223" s="1">
        <f>AQ223+AO223+AL223+AE223+AF223+AG223</f>
        <v>98</v>
      </c>
      <c r="AS223" s="1">
        <f>IF(BE223="s",25,25)</f>
        <v>25</v>
      </c>
      <c r="AT223" s="1">
        <f>ROUND(AR223/AS223,0)</f>
        <v>4</v>
      </c>
      <c r="AU223" s="1">
        <f>ROUND(AT223-N223,0)</f>
        <v>0</v>
      </c>
      <c r="AV223" s="1">
        <f>IF(BE223="s",IF(W223=0,0,
IF(W223=1,N223*4*4,
IF(W223=2,0,
IF(W223=3,N223*4*2,
IF(W223=4,0,
IF(W223=5,0,
IF(W223=6,0,
IF(W223=7,0)))))))),
IF(BE223="t",
IF(W223=0,0,
IF(W223=1,N223*4*4*0.8,
IF(W223=2,0,
IF(W223=3,N223*4*2*0.8,
IF(W223=4,0,
IF(W223=5,0,
IF(W223=6,0,
IF(W223=7,0))))))))))</f>
        <v>0</v>
      </c>
      <c r="AW223" s="1">
        <f>IF(BE223="s",
IF(W223=0,0,
IF(W223=1,0,
IF(W223=2,N223*4*2,
IF(W223=3,N223*4,
IF(W223=4,N223*4,
IF(W223=5,0,
IF(W223=6,0,
IF(W223=7,N223*4)))))))),
IF(BE223="t",
IF(W223=0,0,
IF(W223=1,0,
IF(W223=2,N223*4*2*0.8,
IF(W223=3,N223*4*0.8,
IF(W223=4,N223*4*0.8,
IF(W223=5,0,
IF(W223=6,0,
IF(W223=7,N223*4))))))))))</f>
        <v>0</v>
      </c>
      <c r="AX223" s="1">
        <f>IF(BE223="s",
IF(W223=0,0,
IF(W223=1,N223*2,
IF(W223=2,N223*2,
IF(W223=3,N223*2,
IF(W223=4,N223*2,
IF(W223=5,N223*2,
IF(W223=6,N223*2,
IF(W223=7,N223*2)))))))),
IF(BE223="t",
IF(W223=0,O223*2*0.8,
IF(W223=1,N223*2*0.8,
IF(W223=2,N223*2*0.8,
IF(W223=3,N223*2*0.8,
IF(W223=4,N223*2*0.8,
IF(W223=5,N223*2*0.8,
IF(W223=6,N223*1*0.8,
IF(W223=7,N223*2))))))))))</f>
        <v>0</v>
      </c>
      <c r="AY223" s="1">
        <f t="shared" si="154"/>
        <v>-10</v>
      </c>
      <c r="AZ223" s="1">
        <f>IF(BE223="s",
IF(W223=0,0,
IF(W223=1,(14-2)*(P223+R223)/4*4,
IF(W223=2,(14-2)*(P223+R223)/4*2,
IF(W223=3,(14-2)*(P223+R223)/4*3,
IF(W223=4,(14-2)*(P223+R223)/4,
IF(W223=5,(14-2)*N223/4,
IF(W223=6,0,
IF(W223=7,(14)*R223)))))))),
IF(BE223="t",
IF(W223=0,0,
IF(W223=1,(11-2)*(P223+R223)/4*4,
IF(W223=2,(11-2)*(P223+R223)/4*2,
IF(W223=3,(11-2)*(P223+R223)/4*3,
IF(W223=4,(11-2)*(P223+R223)/4,
IF(W223=5,(11-2)*N223/4,
IF(W223=6,0,
IF(W223=7,(11)*N223))))))))))</f>
        <v>0</v>
      </c>
      <c r="BA223" s="1">
        <f t="shared" si="155"/>
        <v>-56</v>
      </c>
      <c r="BB223" s="1">
        <f>IF(BE223="s",
IF(W223=0,0,
IF(W223=1,4*5,
IF(W223=2,4*3,
IF(W223=3,4*4,
IF(W223=4,4*2,
IF(W223=5,4,
IF(W223=6,4/2,
IF(W223=7,4*2,)))))))),
IF(BE223="t",
IF(W223=0,0,
IF(W223=1,4*5,
IF(W223=2,4*3,
IF(W223=3,4*4,
IF(W223=4,4*2,
IF(W223=5,4,
IF(W223=6,4/2,
IF(W223=7,4*2))))))))))</f>
        <v>0</v>
      </c>
      <c r="BC223" s="1">
        <f t="shared" si="156"/>
        <v>-4</v>
      </c>
      <c r="BD223" s="1">
        <f t="shared" si="157"/>
        <v>0</v>
      </c>
      <c r="BE223" s="1" t="s">
        <v>65</v>
      </c>
      <c r="BF223" s="1">
        <f t="shared" si="158"/>
        <v>28</v>
      </c>
      <c r="BG223" s="1">
        <f t="shared" si="159"/>
        <v>28</v>
      </c>
      <c r="BH223" s="1">
        <f t="shared" si="160"/>
        <v>1</v>
      </c>
      <c r="BI223" s="1" t="e">
        <f>IF(BH223-#REF!=0,"DOĞRU","YANLIŞ")</f>
        <v>#REF!</v>
      </c>
      <c r="BJ223" s="1" t="e">
        <f>#REF!-BH223</f>
        <v>#REF!</v>
      </c>
      <c r="BK223" s="1">
        <v>0</v>
      </c>
      <c r="BM223" s="1">
        <v>0</v>
      </c>
      <c r="BO223" s="1">
        <v>6</v>
      </c>
      <c r="BT223" s="8">
        <f>R223*14</f>
        <v>0</v>
      </c>
      <c r="BU223" s="9"/>
      <c r="BV223" s="10"/>
      <c r="BW223" s="11"/>
      <c r="BX223" s="11"/>
      <c r="BY223" s="11"/>
      <c r="BZ223" s="11"/>
      <c r="CA223" s="11"/>
      <c r="CB223" s="12"/>
      <c r="CC223" s="13"/>
      <c r="CD223" s="14"/>
      <c r="CL223" s="11"/>
      <c r="CM223" s="11"/>
      <c r="CN223" s="11"/>
      <c r="CO223" s="11"/>
      <c r="CP223" s="11"/>
      <c r="CQ223" s="54"/>
      <c r="CR223" s="46"/>
      <c r="CS223" s="54"/>
      <c r="CT223" s="48"/>
      <c r="CU223" s="48"/>
      <c r="CV223" s="48"/>
      <c r="CW223" s="49"/>
      <c r="CX223" s="49"/>
    </row>
    <row r="224" spans="1:102" x14ac:dyDescent="0.25">
      <c r="A224" s="88" t="s">
        <v>470</v>
      </c>
      <c r="B224" s="88" t="s">
        <v>471</v>
      </c>
      <c r="C224" s="1" t="s">
        <v>472</v>
      </c>
      <c r="D224" s="2" t="s">
        <v>63</v>
      </c>
      <c r="E224" s="2" t="s">
        <v>63</v>
      </c>
      <c r="F224" s="3" t="s">
        <v>462</v>
      </c>
      <c r="I224" s="88" t="s">
        <v>141</v>
      </c>
      <c r="J224" s="1">
        <v>4234771</v>
      </c>
      <c r="L224" s="2">
        <v>3381</v>
      </c>
      <c r="N224" s="87">
        <v>9</v>
      </c>
      <c r="O224" s="87">
        <f>(Q224)+(R224/2)+(S224)</f>
        <v>6</v>
      </c>
      <c r="P224" s="2">
        <f t="shared" si="149"/>
        <v>8</v>
      </c>
      <c r="Q224" s="2">
        <v>4</v>
      </c>
      <c r="R224" s="2">
        <v>4</v>
      </c>
      <c r="S224" s="2">
        <v>0</v>
      </c>
      <c r="X224" s="90">
        <v>2</v>
      </c>
      <c r="Y224" s="1" t="e">
        <f>VLOOKUP(X224,[28]Sayfa2!I813:L825,2,FALSE)</f>
        <v>#N/A</v>
      </c>
      <c r="Z224" s="1" t="e">
        <f>VLOOKUP(X224,[28]Sayfa2!I813:L830,3,FALSE)</f>
        <v>#N/A</v>
      </c>
      <c r="AA224" s="1" t="e">
        <f>VLOOKUP(X224,[28]Sayfa2!I812:L820,4,FALSE)</f>
        <v>#N/A</v>
      </c>
      <c r="AB224" s="1">
        <f>$M224*[29]ölçme_sistemleri!$J$13</f>
        <v>0</v>
      </c>
      <c r="AC224" s="1">
        <f>$M224*[29]ölçme_sistemleri!$K$13</f>
        <v>0</v>
      </c>
      <c r="AD224" s="1">
        <f>$M224*[29]ölçme_sistemleri!$L$13</f>
        <v>0</v>
      </c>
      <c r="AE224" s="1" t="e">
        <f t="shared" si="150"/>
        <v>#N/A</v>
      </c>
      <c r="AF224" s="1" t="e">
        <f t="shared" si="151"/>
        <v>#N/A</v>
      </c>
      <c r="AG224" s="1" t="e">
        <f t="shared" si="152"/>
        <v>#N/A</v>
      </c>
      <c r="AH224" s="1" t="e">
        <f t="shared" si="153"/>
        <v>#N/A</v>
      </c>
      <c r="AI224" s="1">
        <v>14</v>
      </c>
      <c r="AJ224" s="1" t="e">
        <f>VLOOKUP(X224,[29]ölçme_sistemleri!Q:U,5,FALSE)</f>
        <v>#N/A</v>
      </c>
      <c r="AK224" s="1" t="e">
        <f>(V224+#REF!)*AI224</f>
        <v>#REF!</v>
      </c>
      <c r="AL224" s="1" t="e">
        <f>VLOOKUP(X224,[29]ölçme_sistemleri!Q:V,6,FALSE)</f>
        <v>#N/A</v>
      </c>
      <c r="AM224" s="1">
        <v>2</v>
      </c>
      <c r="AN224" s="1" t="e">
        <f>AL224*AM224</f>
        <v>#N/A</v>
      </c>
      <c r="AO224" s="1">
        <v>14</v>
      </c>
      <c r="AP224" s="1" t="e">
        <f>AO224*#REF!</f>
        <v>#REF!</v>
      </c>
      <c r="AQ224" s="1" t="e">
        <f>AP224+AN224+AK224+AE224+AF224+AG224</f>
        <v>#REF!</v>
      </c>
      <c r="AR224" s="1">
        <f>IF(AS224="s",25,30)</f>
        <v>25</v>
      </c>
      <c r="AS224" s="1" t="s">
        <v>65</v>
      </c>
      <c r="AT224" s="1" t="e">
        <f>ROUND(AQ224/AR224,0)</f>
        <v>#REF!</v>
      </c>
      <c r="AU224" s="1" t="e">
        <f>ROUND(AT224-S224,0)</f>
        <v>#REF!</v>
      </c>
      <c r="AV224" s="1" t="e">
        <f>IF(BE224="s",IF(#REF!=0,0,
IF(#REF!=1,N224*4*4,
IF(#REF!=2,0,
IF(#REF!=3,N224*4*2,
IF(#REF!=4,0,
IF(#REF!=5,0,
IF(#REF!=6,0,
IF(#REF!=7,0)))))))),
IF(BE224="t",
IF(#REF!=0,0,
IF(#REF!=1,N224*4*4*0.8,
IF(#REF!=2,0,
IF(#REF!=3,N224*4*2*0.8,
IF(#REF!=4,0,
IF(#REF!=5,0,
IF(#REF!=6,0,
IF(#REF!=7,0))))))))))</f>
        <v>#REF!</v>
      </c>
      <c r="AW224" s="1" t="e">
        <f>IF(BE224="s",
IF(#REF!=0,0,
IF(#REF!=1,0,
IF(#REF!=2,N224*4*2,
IF(#REF!=3,N224*4,
IF(#REF!=4,N224*4,
IF(#REF!=5,0,
IF(#REF!=6,0,
IF(#REF!=7,N224*4)))))))),
IF(BE224="t",
IF(#REF!=0,0,
IF(#REF!=1,0,
IF(#REF!=2,N224*4*2*0.8,
IF(#REF!=3,N224*4*0.8,
IF(#REF!=4,N224*4*0.8,
IF(#REF!=5,0,
IF(#REF!=6,0,
IF(#REF!=7,N224*4))))))))))</f>
        <v>#REF!</v>
      </c>
      <c r="AX224" s="1" t="e">
        <f>IF(BE224="s",
IF(#REF!=0,0,
IF(#REF!=1,N224*2,
IF(#REF!=2,N224*2,
IF(#REF!=3,N224*2,
IF(#REF!=4,N224*2,
IF(#REF!=5,N224*2,
IF(#REF!=6,N224*2,
IF(#REF!=7,N224*2)))))))),
IF(BE224="t",
IF(#REF!=0,O224*2*0.8,
IF(#REF!=1,N224*2*0.8,
IF(#REF!=2,N224*2*0.8,
IF(#REF!=3,N224*2*0.8,
IF(#REF!=4,N224*2*0.8,
IF(#REF!=5,N224*2*0.8,
IF(#REF!=6,N224*1*0.8,
IF(#REF!=7,N224*2))))))))))</f>
        <v>#REF!</v>
      </c>
      <c r="AY224" s="1" t="e">
        <f t="shared" si="154"/>
        <v>#REF!</v>
      </c>
      <c r="AZ224" s="1" t="e">
        <f>IF(BE224="s",
IF(#REF!=0,0,
IF(#REF!=1,(14-2)*(P224+R224)/4*4,
IF(#REF!=2,(14-2)*(P224+R224)/4*2,
IF(#REF!=3,(14-2)*(P224+R224)/4*3,
IF(#REF!=4,(14-2)*(P224+R224)/4,
IF(#REF!=5,(14-2)*N224/4,
IF(#REF!=6,0,
IF(#REF!=7,(14)*R224)))))))),
IF(BE224="t",
IF(#REF!=0,0,
IF(#REF!=1,(11-2)*(P224+R224)/4*4,
IF(#REF!=2,(11-2)*(P224+R224)/4*2,
IF(#REF!=3,(11-2)*(P224+R224)/4*3,
IF(#REF!=4,(11-2)*(P224+R224)/4,
IF(#REF!=5,(11-2)*N224/4,
IF(#REF!=6,0,
IF(#REF!=7,(11)*N224))))))))))</f>
        <v>#REF!</v>
      </c>
      <c r="BA224" s="1" t="e">
        <f t="shared" si="155"/>
        <v>#REF!</v>
      </c>
      <c r="BB224" s="1" t="e">
        <f>IF(BE224="s",
IF(#REF!=0,0,
IF(#REF!=1,4*5,
IF(#REF!=2,4*3,
IF(#REF!=3,4*4,
IF(#REF!=4,4*2,
IF(#REF!=5,4,
IF(#REF!=6,4/2,
IF(#REF!=7,4*2,)))))))),
IF(BE224="t",
IF(#REF!=0,0,
IF(#REF!=1,4*5,
IF(#REF!=2,4*3,
IF(#REF!=3,4*4,
IF(#REF!=4,4*2,
IF(#REF!=5,4,
IF(#REF!=6,4/2,
IF(#REF!=7,4*2))))))))))</f>
        <v>#REF!</v>
      </c>
      <c r="BC224" s="1" t="e">
        <f t="shared" si="156"/>
        <v>#REF!</v>
      </c>
      <c r="BD224" s="1" t="e">
        <f t="shared" si="157"/>
        <v>#REF!</v>
      </c>
      <c r="BE224" s="1" t="s">
        <v>65</v>
      </c>
      <c r="BF224" s="1">
        <f t="shared" si="158"/>
        <v>84</v>
      </c>
      <c r="BG224" s="1" t="e">
        <f t="shared" si="159"/>
        <v>#REF!</v>
      </c>
      <c r="BH224" s="1" t="e">
        <f t="shared" si="160"/>
        <v>#REF!</v>
      </c>
      <c r="BI224" s="1" t="e">
        <f>IF(BH224-#REF!=0,"DOĞRU","YANLIŞ")</f>
        <v>#REF!</v>
      </c>
      <c r="BJ224" s="1" t="e">
        <f>#REF!-BH224</f>
        <v>#REF!</v>
      </c>
      <c r="BK224" s="1">
        <v>1</v>
      </c>
      <c r="BM224" s="1">
        <v>0</v>
      </c>
      <c r="BO224" s="1">
        <v>2</v>
      </c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L224" s="82"/>
      <c r="CM224" s="82"/>
      <c r="CN224" s="82"/>
      <c r="CO224" s="82"/>
      <c r="CP224" s="82" t="s">
        <v>442</v>
      </c>
      <c r="CQ224" s="85">
        <v>44306</v>
      </c>
      <c r="CR224" s="83" t="s">
        <v>531</v>
      </c>
      <c r="CS224" s="93">
        <v>44334</v>
      </c>
      <c r="CT224" s="91" t="s">
        <v>531</v>
      </c>
      <c r="CU224" s="48"/>
      <c r="CV224" s="48"/>
      <c r="CW224" s="49"/>
      <c r="CX224" s="49"/>
    </row>
    <row r="225" spans="1:102" hidden="1" x14ac:dyDescent="0.25">
      <c r="A225" s="1" t="s">
        <v>247</v>
      </c>
      <c r="B225" s="1" t="s">
        <v>248</v>
      </c>
      <c r="C225" s="1" t="s">
        <v>248</v>
      </c>
      <c r="D225" s="2" t="s">
        <v>58</v>
      </c>
      <c r="E225" s="2" t="s">
        <v>58</v>
      </c>
      <c r="F225" s="3" t="e">
        <f>IF(BE225="S",
IF(#REF!+BM225=2018,
IF(#REF!=1,"18-19/1",
IF(#REF!=2,"18-19/2",
IF(#REF!=3,"19-20/1",
IF(#REF!=4,"19-20/2",
IF(#REF!=5,"20-21/1",
IF(#REF!=6,"20-21/2",
IF(#REF!=7,"21-22/1",
IF(#REF!=8,"21-22/2","Hata1")))))))),
IF(#REF!+BM225=2019,
IF(#REF!=1,"19-20/1",
IF(#REF!=2,"19-20/2",
IF(#REF!=3,"20-21/1",
IF(#REF!=4,"20-21/2",
IF(#REF!=5,"21-22/1",
IF(#REF!=6,"21-22/2",
IF(#REF!=7,"22-23/1",
IF(#REF!=8,"22-23/2","Hata2")))))))),
IF(#REF!+BM225=2020,
IF(#REF!=1,"20-21/1",
IF(#REF!=2,"20-21/2",
IF(#REF!=3,"21-22/1",
IF(#REF!=4,"21-22/2",
IF(#REF!=5,"22-23/1",
IF(#REF!=6,"22-23/2",
IF(#REF!=7,"23-24/1",
IF(#REF!=8,"23-24/2","Hata3")))))))),
IF(#REF!+BM225=2021,
IF(#REF!=1,"21-22/1",
IF(#REF!=2,"21-22/2",
IF(#REF!=3,"22-23/1",
IF(#REF!=4,"22-23/2",
IF(#REF!=5,"23-24/1",
IF(#REF!=6,"23-24/2",
IF(#REF!=7,"24-25/1",
IF(#REF!=8,"24-25/2","Hata4")))))))),
IF(#REF!+BM225=2022,
IF(#REF!=1,"22-23/1",
IF(#REF!=2,"22-23/2",
IF(#REF!=3,"23-24/1",
IF(#REF!=4,"23-24/2",
IF(#REF!=5,"24-25/1",
IF(#REF!=6,"24-25/2",
IF(#REF!=7,"25-26/1",
IF(#REF!=8,"25-26/2","Hata5")))))))),
IF(#REF!+BM225=2023,
IF(#REF!=1,"23-24/1",
IF(#REF!=2,"23-24/2",
IF(#REF!=3,"24-25/1",
IF(#REF!=4,"24-25/2",
IF(#REF!=5,"25-26/1",
IF(#REF!=6,"25-26/2",
IF(#REF!=7,"26-27/1",
IF(#REF!=8,"26-27/2","Hata6")))))))),
)))))),
IF(BE225="T",
IF(#REF!+BM225=2018,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IF(#REF!+BM225=2019,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IF(#REF!+BM225=2020,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IF(#REF!+BM225=2021,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IF(#REF!+BM225=2022,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IF(#REF!+BM225=2023,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25" s="1" t="s">
        <v>145</v>
      </c>
      <c r="J225" s="1">
        <v>4234778</v>
      </c>
      <c r="L225" s="2">
        <v>3551</v>
      </c>
      <c r="N225" s="2">
        <v>4</v>
      </c>
      <c r="O225" s="6">
        <f>(S225)+(R225/2)+(Q225)</f>
        <v>2</v>
      </c>
      <c r="P225" s="2">
        <f t="shared" si="149"/>
        <v>2</v>
      </c>
      <c r="Q225" s="2">
        <v>0</v>
      </c>
      <c r="R225" s="2">
        <v>0</v>
      </c>
      <c r="S225" s="2">
        <v>2</v>
      </c>
      <c r="X225" s="3">
        <v>4</v>
      </c>
      <c r="Y225" s="1">
        <f>VLOOKUP($X225,[27]ölçme_sistemleri!I:L,2,FALSE)</f>
        <v>0</v>
      </c>
      <c r="Z225" s="1">
        <f>VLOOKUP($X225,[27]ölçme_sistemleri!I:L,3,FALSE)</f>
        <v>1</v>
      </c>
      <c r="AA225" s="1">
        <f>VLOOKUP($X225,[27]ölçme_sistemleri!I:L,4,FALSE)</f>
        <v>1</v>
      </c>
      <c r="AB225" s="1">
        <f>$O225*[27]ölçme_sistemleri!J$13</f>
        <v>2</v>
      </c>
      <c r="AC225" s="1">
        <f>$O225*[27]ölçme_sistemleri!K$13</f>
        <v>4</v>
      </c>
      <c r="AD225" s="1">
        <f>$O225*[27]ölçme_sistemleri!L$13</f>
        <v>6</v>
      </c>
      <c r="AE225" s="1">
        <f t="shared" si="150"/>
        <v>0</v>
      </c>
      <c r="AF225" s="1">
        <f t="shared" si="151"/>
        <v>4</v>
      </c>
      <c r="AG225" s="1">
        <f t="shared" si="152"/>
        <v>6</v>
      </c>
      <c r="AH225" s="1">
        <f t="shared" si="153"/>
        <v>10</v>
      </c>
      <c r="AI225" s="1">
        <v>14</v>
      </c>
      <c r="AJ225" s="1">
        <f>VLOOKUP(X225,[27]ölçme_sistemleri!I:M,5,FALSE)</f>
        <v>1</v>
      </c>
      <c r="AK225" s="1">
        <f>SUM(AE225,AF225,AG225)*AI225</f>
        <v>140</v>
      </c>
      <c r="AL225" s="1">
        <f>((Q225+S225)*AI225)*2</f>
        <v>56</v>
      </c>
      <c r="AM225" s="1">
        <f>VLOOKUP(X225,[27]ölçme_sistemleri!I:N,6,FALSE)</f>
        <v>2</v>
      </c>
      <c r="AN225" s="1">
        <v>2</v>
      </c>
      <c r="AO225" s="1">
        <f>AM225*AN225</f>
        <v>4</v>
      </c>
      <c r="AP225" s="1">
        <v>14</v>
      </c>
      <c r="AQ225" s="1">
        <f>AP225*P225</f>
        <v>28</v>
      </c>
      <c r="AR225" s="1">
        <f>AQ225+AO225+AL225+AE225+AF225+AG225</f>
        <v>98</v>
      </c>
      <c r="AS225" s="1">
        <f>IF(BE225="s",25,25)</f>
        <v>25</v>
      </c>
      <c r="AT225" s="1">
        <f>ROUND(AR225/AS225,0)</f>
        <v>4</v>
      </c>
      <c r="AU225" s="1">
        <f>ROUND(AT225-N225,0)</f>
        <v>0</v>
      </c>
      <c r="AV225" s="1">
        <f>IF(BE225="s",IF(W225=0,0,
IF(W225=1,N225*4*4,
IF(W225=2,0,
IF(W225=3,N225*4*2,
IF(W225=4,0,
IF(W225=5,0,
IF(W225=6,0,
IF(W225=7,0)))))))),
IF(BE225="t",
IF(W225=0,0,
IF(W225=1,N225*4*4*0.8,
IF(W225=2,0,
IF(W225=3,N225*4*2*0.8,
IF(W225=4,0,
IF(W225=5,0,
IF(W225=6,0,
IF(W225=7,0))))))))))</f>
        <v>0</v>
      </c>
      <c r="AW225" s="1">
        <f>IF(BE225="s",
IF(W225=0,0,
IF(W225=1,0,
IF(W225=2,N225*4*2,
IF(W225=3,N225*4,
IF(W225=4,N225*4,
IF(W225=5,0,
IF(W225=6,0,
IF(W225=7,N225*4)))))))),
IF(BE225="t",
IF(W225=0,0,
IF(W225=1,0,
IF(W225=2,N225*4*2*0.8,
IF(W225=3,N225*4*0.8,
IF(W225=4,N225*4*0.8,
IF(W225=5,0,
IF(W225=6,0,
IF(W225=7,N225*4))))))))))</f>
        <v>0</v>
      </c>
      <c r="AX225" s="1">
        <f>IF(BE225="s",
IF(W225=0,0,
IF(W225=1,N225*2,
IF(W225=2,N225*2,
IF(W225=3,N225*2,
IF(W225=4,N225*2,
IF(W225=5,N225*2,
IF(W225=6,N225*2,
IF(W225=7,N225*2)))))))),
IF(BE225="t",
IF(W225=0,O225*2*0.8,
IF(W225=1,N225*2*0.8,
IF(W225=2,N225*2*0.8,
IF(W225=3,N225*2*0.8,
IF(W225=4,N225*2*0.8,
IF(W225=5,N225*2*0.8,
IF(W225=6,N225*1*0.8,
IF(W225=7,N225*2))))))))))</f>
        <v>0</v>
      </c>
      <c r="AY225" s="1">
        <f t="shared" si="154"/>
        <v>-10</v>
      </c>
      <c r="AZ225" s="1">
        <f>IF(BE225="s",
IF(W225=0,0,
IF(W225=1,(14-2)*(P225+R225)/4*4,
IF(W225=2,(14-2)*(P225+R225)/4*2,
IF(W225=3,(14-2)*(P225+R225)/4*3,
IF(W225=4,(14-2)*(P225+R225)/4,
IF(W225=5,(14-2)*N225/4,
IF(W225=6,0,
IF(W225=7,(14)*R225)))))))),
IF(BE225="t",
IF(W225=0,0,
IF(W225=1,(11-2)*(P225+R225)/4*4,
IF(W225=2,(11-2)*(P225+R225)/4*2,
IF(W225=3,(11-2)*(P225+R225)/4*3,
IF(W225=4,(11-2)*(P225+R225)/4,
IF(W225=5,(11-2)*N225/4,
IF(W225=6,0,
IF(W225=7,(11)*N225))))))))))</f>
        <v>0</v>
      </c>
      <c r="BA225" s="1">
        <f t="shared" si="155"/>
        <v>-56</v>
      </c>
      <c r="BB225" s="1">
        <f>IF(BE225="s",
IF(W225=0,0,
IF(W225=1,4*5,
IF(W225=2,4*3,
IF(W225=3,4*4,
IF(W225=4,4*2,
IF(W225=5,4,
IF(W225=6,4/2,
IF(W225=7,4*2,)))))))),
IF(BE225="t",
IF(W225=0,0,
IF(W225=1,4*5,
IF(W225=2,4*3,
IF(W225=3,4*4,
IF(W225=4,4*2,
IF(W225=5,4,
IF(W225=6,4/2,
IF(W225=7,4*2))))))))))</f>
        <v>0</v>
      </c>
      <c r="BC225" s="1">
        <f t="shared" si="156"/>
        <v>-4</v>
      </c>
      <c r="BD225" s="1">
        <f t="shared" si="157"/>
        <v>0</v>
      </c>
      <c r="BE225" s="1" t="s">
        <v>65</v>
      </c>
      <c r="BF225" s="1">
        <f t="shared" si="158"/>
        <v>28</v>
      </c>
      <c r="BG225" s="1">
        <f t="shared" si="159"/>
        <v>28</v>
      </c>
      <c r="BH225" s="1">
        <f t="shared" si="160"/>
        <v>1</v>
      </c>
      <c r="BI225" s="1" t="e">
        <f>IF(BH225-#REF!=0,"DOĞRU","YANLIŞ")</f>
        <v>#REF!</v>
      </c>
      <c r="BJ225" s="1" t="e">
        <f>#REF!-BH225</f>
        <v>#REF!</v>
      </c>
      <c r="BK225" s="1">
        <v>0</v>
      </c>
      <c r="BM225" s="1">
        <v>0</v>
      </c>
      <c r="BO225" s="1">
        <v>4</v>
      </c>
      <c r="BT225" s="8">
        <f>R225*14</f>
        <v>0</v>
      </c>
      <c r="BU225" s="9"/>
      <c r="BV225" s="10"/>
      <c r="BW225" s="11"/>
      <c r="BX225" s="11"/>
      <c r="BY225" s="11"/>
      <c r="BZ225" s="11"/>
      <c r="CA225" s="11"/>
      <c r="CB225" s="12"/>
      <c r="CC225" s="13"/>
      <c r="CD225" s="14"/>
      <c r="CL225" s="11"/>
      <c r="CM225" s="11"/>
      <c r="CN225" s="11"/>
      <c r="CO225" s="11"/>
      <c r="CP225" s="11"/>
      <c r="CQ225" s="49"/>
      <c r="CR225" s="46"/>
      <c r="CS225" s="48"/>
      <c r="CT225" s="48"/>
      <c r="CU225" s="48"/>
      <c r="CV225" s="48"/>
      <c r="CW225" s="49"/>
      <c r="CX225" s="49"/>
    </row>
    <row r="226" spans="1:102" x14ac:dyDescent="0.25">
      <c r="A226" s="88" t="s">
        <v>470</v>
      </c>
      <c r="B226" s="88" t="s">
        <v>471</v>
      </c>
      <c r="C226" s="1" t="s">
        <v>472</v>
      </c>
      <c r="D226" s="2" t="s">
        <v>63</v>
      </c>
      <c r="E226" s="2" t="s">
        <v>63</v>
      </c>
      <c r="F226" s="3" t="s">
        <v>462</v>
      </c>
      <c r="G226" s="1"/>
      <c r="H226" s="1"/>
      <c r="I226" s="88" t="s">
        <v>64</v>
      </c>
      <c r="L226" s="2">
        <v>3381</v>
      </c>
      <c r="N226" s="87">
        <v>9</v>
      </c>
      <c r="O226" s="87">
        <f>(Q226)+(R226/2)+(S226)</f>
        <v>6</v>
      </c>
      <c r="P226" s="2">
        <f t="shared" si="149"/>
        <v>8</v>
      </c>
      <c r="Q226" s="2">
        <v>4</v>
      </c>
      <c r="R226" s="2">
        <v>4</v>
      </c>
      <c r="S226" s="2">
        <v>0</v>
      </c>
      <c r="X226" s="90">
        <v>2</v>
      </c>
      <c r="Y226" s="1" t="e">
        <f>VLOOKUP(X226,[28]Sayfa2!I816:L828,2,FALSE)</f>
        <v>#N/A</v>
      </c>
      <c r="Z226" s="1" t="e">
        <f>VLOOKUP(X226,[28]Sayfa2!I816:L833,3,FALSE)</f>
        <v>#N/A</v>
      </c>
      <c r="AA226" s="1" t="e">
        <f>VLOOKUP(X226,[28]Sayfa2!I815:L823,4,FALSE)</f>
        <v>#N/A</v>
      </c>
      <c r="AB226" s="1">
        <f>$M226*[29]ölçme_sistemleri!$J$13</f>
        <v>0</v>
      </c>
      <c r="AC226" s="1">
        <f>$M226*[29]ölçme_sistemleri!$K$13</f>
        <v>0</v>
      </c>
      <c r="AD226" s="1">
        <f>$M226*[29]ölçme_sistemleri!$L$13</f>
        <v>0</v>
      </c>
      <c r="AE226" s="1" t="e">
        <f t="shared" si="150"/>
        <v>#N/A</v>
      </c>
      <c r="AF226" s="1" t="e">
        <f t="shared" si="151"/>
        <v>#N/A</v>
      </c>
      <c r="AG226" s="1" t="e">
        <f t="shared" si="152"/>
        <v>#N/A</v>
      </c>
      <c r="AH226" s="1" t="e">
        <f t="shared" si="153"/>
        <v>#N/A</v>
      </c>
      <c r="AI226" s="1">
        <v>14</v>
      </c>
      <c r="AJ226" s="1" t="e">
        <f>VLOOKUP(X226,[29]ölçme_sistemleri!Q:U,5,FALSE)</f>
        <v>#N/A</v>
      </c>
      <c r="AK226" s="1" t="e">
        <f>(V226+#REF!)*AI226</f>
        <v>#REF!</v>
      </c>
      <c r="AL226" s="1" t="e">
        <f>VLOOKUP(X226,[29]ölçme_sistemleri!Q:V,6,FALSE)</f>
        <v>#N/A</v>
      </c>
      <c r="AM226" s="1">
        <v>2</v>
      </c>
      <c r="AN226" s="1" t="e">
        <f>AL226*AM226</f>
        <v>#N/A</v>
      </c>
      <c r="AO226" s="1">
        <v>14</v>
      </c>
      <c r="AP226" s="1" t="e">
        <f>AO226*#REF!</f>
        <v>#REF!</v>
      </c>
      <c r="AQ226" s="1" t="e">
        <f>AP226+AN226+AK226+AE226+AF226+AG226</f>
        <v>#REF!</v>
      </c>
      <c r="AR226" s="1">
        <f>IF(AS226="s",25,30)</f>
        <v>25</v>
      </c>
      <c r="AS226" s="1" t="s">
        <v>65</v>
      </c>
      <c r="AT226" s="1" t="e">
        <f>ROUND(AQ226/AR226,0)</f>
        <v>#REF!</v>
      </c>
      <c r="AU226" s="1" t="e">
        <f>ROUND(AT226-S226,0)</f>
        <v>#REF!</v>
      </c>
      <c r="AV226" s="1" t="e">
        <f>IF(BE226="s",IF(#REF!=0,0,
IF(#REF!=1,N226*4*4,
IF(#REF!=2,0,
IF(#REF!=3,N226*4*2,
IF(#REF!=4,0,
IF(#REF!=5,0,
IF(#REF!=6,0,
IF(#REF!=7,0)))))))),
IF(BE226="t",
IF(#REF!=0,0,
IF(#REF!=1,N226*4*4*0.8,
IF(#REF!=2,0,
IF(#REF!=3,N226*4*2*0.8,
IF(#REF!=4,0,
IF(#REF!=5,0,
IF(#REF!=6,0,
IF(#REF!=7,0))))))))))</f>
        <v>#REF!</v>
      </c>
      <c r="AW226" s="1" t="e">
        <f>IF(BE226="s",
IF(#REF!=0,0,
IF(#REF!=1,0,
IF(#REF!=2,N226*4*2,
IF(#REF!=3,N226*4,
IF(#REF!=4,N226*4,
IF(#REF!=5,0,
IF(#REF!=6,0,
IF(#REF!=7,N226*4)))))))),
IF(BE226="t",
IF(#REF!=0,0,
IF(#REF!=1,0,
IF(#REF!=2,N226*4*2*0.8,
IF(#REF!=3,N226*4*0.8,
IF(#REF!=4,N226*4*0.8,
IF(#REF!=5,0,
IF(#REF!=6,0,
IF(#REF!=7,N226*4))))))))))</f>
        <v>#REF!</v>
      </c>
      <c r="AX226" s="1" t="e">
        <f>IF(BE226="s",
IF(#REF!=0,0,
IF(#REF!=1,N226*2,
IF(#REF!=2,N226*2,
IF(#REF!=3,N226*2,
IF(#REF!=4,N226*2,
IF(#REF!=5,N226*2,
IF(#REF!=6,N226*2,
IF(#REF!=7,N226*2)))))))),
IF(BE226="t",
IF(#REF!=0,O226*2*0.8,
IF(#REF!=1,N226*2*0.8,
IF(#REF!=2,N226*2*0.8,
IF(#REF!=3,N226*2*0.8,
IF(#REF!=4,N226*2*0.8,
IF(#REF!=5,N226*2*0.8,
IF(#REF!=6,N226*1*0.8,
IF(#REF!=7,N226*2))))))))))</f>
        <v>#REF!</v>
      </c>
      <c r="AY226" s="1" t="e">
        <f t="shared" si="154"/>
        <v>#REF!</v>
      </c>
      <c r="AZ226" s="1" t="e">
        <f>IF(BE226="s",
IF(#REF!=0,0,
IF(#REF!=1,(14-2)*(P226+R226)/4*4,
IF(#REF!=2,(14-2)*(P226+R226)/4*2,
IF(#REF!=3,(14-2)*(P226+R226)/4*3,
IF(#REF!=4,(14-2)*(P226+R226)/4,
IF(#REF!=5,(14-2)*N226/4,
IF(#REF!=6,0,
IF(#REF!=7,(14)*R226)))))))),
IF(BE226="t",
IF(#REF!=0,0,
IF(#REF!=1,(11-2)*(P226+R226)/4*4,
IF(#REF!=2,(11-2)*(P226+R226)/4*2,
IF(#REF!=3,(11-2)*(P226+R226)/4*3,
IF(#REF!=4,(11-2)*(P226+R226)/4,
IF(#REF!=5,(11-2)*N226/4,
IF(#REF!=6,0,
IF(#REF!=7,(11)*N226))))))))))</f>
        <v>#REF!</v>
      </c>
      <c r="BA226" s="1" t="e">
        <f t="shared" si="155"/>
        <v>#REF!</v>
      </c>
      <c r="BB226" s="1" t="e">
        <f>IF(BE226="s",
IF(#REF!=0,0,
IF(#REF!=1,4*5,
IF(#REF!=2,4*3,
IF(#REF!=3,4*4,
IF(#REF!=4,4*2,
IF(#REF!=5,4,
IF(#REF!=6,4/2,
IF(#REF!=7,4*2,)))))))),
IF(BE226="t",
IF(#REF!=0,0,
IF(#REF!=1,4*5,
IF(#REF!=2,4*3,
IF(#REF!=3,4*4,
IF(#REF!=4,4*2,
IF(#REF!=5,4,
IF(#REF!=6,4/2,
IF(#REF!=7,4*2))))))))))</f>
        <v>#REF!</v>
      </c>
      <c r="BC226" s="1" t="e">
        <f t="shared" si="156"/>
        <v>#REF!</v>
      </c>
      <c r="BD226" s="1" t="e">
        <f t="shared" si="157"/>
        <v>#REF!</v>
      </c>
      <c r="BE226" s="1" t="s">
        <v>65</v>
      </c>
      <c r="BF226" s="1">
        <f t="shared" si="158"/>
        <v>84</v>
      </c>
      <c r="BG226" s="1" t="e">
        <f t="shared" si="159"/>
        <v>#REF!</v>
      </c>
      <c r="BH226" s="1" t="e">
        <f t="shared" si="160"/>
        <v>#REF!</v>
      </c>
      <c r="BI226" s="1" t="e">
        <f>IF(BH226-#REF!=0,"DOĞRU","YANLIŞ")</f>
        <v>#REF!</v>
      </c>
      <c r="BJ226" s="1" t="e">
        <f>#REF!-BH226</f>
        <v>#REF!</v>
      </c>
      <c r="BK226" s="1">
        <v>1</v>
      </c>
      <c r="BM226" s="1">
        <v>0</v>
      </c>
      <c r="BO226" s="1">
        <v>2</v>
      </c>
      <c r="CL226" s="82"/>
      <c r="CM226" s="82"/>
      <c r="CN226" s="82"/>
      <c r="CO226" s="82"/>
      <c r="CP226" s="82" t="s">
        <v>442</v>
      </c>
      <c r="CQ226" s="85">
        <v>44306</v>
      </c>
      <c r="CR226" s="83" t="s">
        <v>531</v>
      </c>
      <c r="CS226" s="93">
        <v>44334</v>
      </c>
      <c r="CT226" s="91" t="s">
        <v>531</v>
      </c>
      <c r="CU226" s="49"/>
      <c r="CV226" s="48"/>
      <c r="CW226" s="49"/>
      <c r="CX226" s="49"/>
    </row>
    <row r="227" spans="1:102" x14ac:dyDescent="0.25">
      <c r="A227" s="88" t="s">
        <v>470</v>
      </c>
      <c r="B227" s="88" t="s">
        <v>471</v>
      </c>
      <c r="C227" s="1" t="s">
        <v>472</v>
      </c>
      <c r="D227" s="2" t="s">
        <v>63</v>
      </c>
      <c r="E227" s="2" t="s">
        <v>63</v>
      </c>
      <c r="F227" s="3" t="s">
        <v>462</v>
      </c>
      <c r="G227" s="1"/>
      <c r="H227" s="1"/>
      <c r="I227" s="88" t="s">
        <v>145</v>
      </c>
      <c r="J227" s="1">
        <v>4234778</v>
      </c>
      <c r="L227" s="2">
        <v>3381</v>
      </c>
      <c r="N227" s="87">
        <v>9</v>
      </c>
      <c r="O227" s="87">
        <f>(Q227)+(R227/2)+(S227)</f>
        <v>6</v>
      </c>
      <c r="P227" s="2">
        <f t="shared" si="149"/>
        <v>8</v>
      </c>
      <c r="Q227" s="2">
        <v>4</v>
      </c>
      <c r="R227" s="2">
        <v>4</v>
      </c>
      <c r="S227" s="2">
        <v>0</v>
      </c>
      <c r="X227" s="90">
        <v>2</v>
      </c>
      <c r="Y227" s="1" t="e">
        <f>VLOOKUP(X227,[28]Sayfa2!I814:L826,2,FALSE)</f>
        <v>#N/A</v>
      </c>
      <c r="Z227" s="1" t="e">
        <f>VLOOKUP(X227,[28]Sayfa2!I814:L831,3,FALSE)</f>
        <v>#N/A</v>
      </c>
      <c r="AA227" s="1" t="e">
        <f>VLOOKUP(X227,[28]Sayfa2!I813:L821,4,FALSE)</f>
        <v>#N/A</v>
      </c>
      <c r="AB227" s="1">
        <f>$M227*[29]ölçme_sistemleri!$J$13</f>
        <v>0</v>
      </c>
      <c r="AC227" s="1">
        <f>$M227*[29]ölçme_sistemleri!$K$13</f>
        <v>0</v>
      </c>
      <c r="AD227" s="1">
        <f>$M227*[29]ölçme_sistemleri!$L$13</f>
        <v>0</v>
      </c>
      <c r="AE227" s="1" t="e">
        <f t="shared" si="150"/>
        <v>#N/A</v>
      </c>
      <c r="AF227" s="1" t="e">
        <f t="shared" si="151"/>
        <v>#N/A</v>
      </c>
      <c r="AG227" s="1" t="e">
        <f t="shared" si="152"/>
        <v>#N/A</v>
      </c>
      <c r="AH227" s="1" t="e">
        <f t="shared" si="153"/>
        <v>#N/A</v>
      </c>
      <c r="AI227" s="1">
        <v>14</v>
      </c>
      <c r="AJ227" s="1" t="e">
        <f>VLOOKUP(X227,[29]ölçme_sistemleri!Q:U,5,FALSE)</f>
        <v>#N/A</v>
      </c>
      <c r="AK227" s="1" t="e">
        <f>(V227+#REF!)*AI227</f>
        <v>#REF!</v>
      </c>
      <c r="AL227" s="1" t="e">
        <f>VLOOKUP(X227,[29]ölçme_sistemleri!Q:V,6,FALSE)</f>
        <v>#N/A</v>
      </c>
      <c r="AM227" s="1">
        <v>2</v>
      </c>
      <c r="AN227" s="1" t="e">
        <f>AL227*AM227</f>
        <v>#N/A</v>
      </c>
      <c r="AO227" s="1">
        <v>14</v>
      </c>
      <c r="AP227" s="1" t="e">
        <f>AO227*#REF!</f>
        <v>#REF!</v>
      </c>
      <c r="AQ227" s="1" t="e">
        <f>AP227+AN227+AK227+AE227+AF227+AG227</f>
        <v>#REF!</v>
      </c>
      <c r="AR227" s="1">
        <f>IF(AS227="s",25,30)</f>
        <v>25</v>
      </c>
      <c r="AS227" s="1" t="s">
        <v>65</v>
      </c>
      <c r="AT227" s="1" t="e">
        <f>ROUND(AQ227/AR227,0)</f>
        <v>#REF!</v>
      </c>
      <c r="AU227" s="1" t="e">
        <f>ROUND(AT227-S227,0)</f>
        <v>#REF!</v>
      </c>
      <c r="AV227" s="1" t="e">
        <f>IF(BE227="s",IF(#REF!=0,0,
IF(#REF!=1,N227*4*4,
IF(#REF!=2,0,
IF(#REF!=3,N227*4*2,
IF(#REF!=4,0,
IF(#REF!=5,0,
IF(#REF!=6,0,
IF(#REF!=7,0)))))))),
IF(BE227="t",
IF(#REF!=0,0,
IF(#REF!=1,N227*4*4*0.8,
IF(#REF!=2,0,
IF(#REF!=3,N227*4*2*0.8,
IF(#REF!=4,0,
IF(#REF!=5,0,
IF(#REF!=6,0,
IF(#REF!=7,0))))))))))</f>
        <v>#REF!</v>
      </c>
      <c r="AW227" s="1" t="e">
        <f>IF(BE227="s",
IF(#REF!=0,0,
IF(#REF!=1,0,
IF(#REF!=2,N227*4*2,
IF(#REF!=3,N227*4,
IF(#REF!=4,N227*4,
IF(#REF!=5,0,
IF(#REF!=6,0,
IF(#REF!=7,N227*4)))))))),
IF(BE227="t",
IF(#REF!=0,0,
IF(#REF!=1,0,
IF(#REF!=2,N227*4*2*0.8,
IF(#REF!=3,N227*4*0.8,
IF(#REF!=4,N227*4*0.8,
IF(#REF!=5,0,
IF(#REF!=6,0,
IF(#REF!=7,N227*4))))))))))</f>
        <v>#REF!</v>
      </c>
      <c r="AX227" s="1" t="e">
        <f>IF(BE227="s",
IF(#REF!=0,0,
IF(#REF!=1,N227*2,
IF(#REF!=2,N227*2,
IF(#REF!=3,N227*2,
IF(#REF!=4,N227*2,
IF(#REF!=5,N227*2,
IF(#REF!=6,N227*2,
IF(#REF!=7,N227*2)))))))),
IF(BE227="t",
IF(#REF!=0,O227*2*0.8,
IF(#REF!=1,N227*2*0.8,
IF(#REF!=2,N227*2*0.8,
IF(#REF!=3,N227*2*0.8,
IF(#REF!=4,N227*2*0.8,
IF(#REF!=5,N227*2*0.8,
IF(#REF!=6,N227*1*0.8,
IF(#REF!=7,N227*2))))))))))</f>
        <v>#REF!</v>
      </c>
      <c r="AY227" s="1" t="e">
        <f t="shared" si="154"/>
        <v>#REF!</v>
      </c>
      <c r="AZ227" s="1" t="e">
        <f>IF(BE227="s",
IF(#REF!=0,0,
IF(#REF!=1,(14-2)*(P227+R227)/4*4,
IF(#REF!=2,(14-2)*(P227+R227)/4*2,
IF(#REF!=3,(14-2)*(P227+R227)/4*3,
IF(#REF!=4,(14-2)*(P227+R227)/4,
IF(#REF!=5,(14-2)*N227/4,
IF(#REF!=6,0,
IF(#REF!=7,(14)*R227)))))))),
IF(BE227="t",
IF(#REF!=0,0,
IF(#REF!=1,(11-2)*(P227+R227)/4*4,
IF(#REF!=2,(11-2)*(P227+R227)/4*2,
IF(#REF!=3,(11-2)*(P227+R227)/4*3,
IF(#REF!=4,(11-2)*(P227+R227)/4,
IF(#REF!=5,(11-2)*N227/4,
IF(#REF!=6,0,
IF(#REF!=7,(11)*N227))))))))))</f>
        <v>#REF!</v>
      </c>
      <c r="BA227" s="1" t="e">
        <f t="shared" si="155"/>
        <v>#REF!</v>
      </c>
      <c r="BB227" s="1" t="e">
        <f>IF(BE227="s",
IF(#REF!=0,0,
IF(#REF!=1,4*5,
IF(#REF!=2,4*3,
IF(#REF!=3,4*4,
IF(#REF!=4,4*2,
IF(#REF!=5,4,
IF(#REF!=6,4/2,
IF(#REF!=7,4*2,)))))))),
IF(BE227="t",
IF(#REF!=0,0,
IF(#REF!=1,4*5,
IF(#REF!=2,4*3,
IF(#REF!=3,4*4,
IF(#REF!=4,4*2,
IF(#REF!=5,4,
IF(#REF!=6,4/2,
IF(#REF!=7,4*2))))))))))</f>
        <v>#REF!</v>
      </c>
      <c r="BC227" s="1" t="e">
        <f t="shared" si="156"/>
        <v>#REF!</v>
      </c>
      <c r="BD227" s="1" t="e">
        <f t="shared" si="157"/>
        <v>#REF!</v>
      </c>
      <c r="BE227" s="1" t="s">
        <v>65</v>
      </c>
      <c r="BF227" s="1">
        <f t="shared" si="158"/>
        <v>84</v>
      </c>
      <c r="BG227" s="1" t="e">
        <f t="shared" si="159"/>
        <v>#REF!</v>
      </c>
      <c r="BH227" s="1" t="e">
        <f t="shared" si="160"/>
        <v>#REF!</v>
      </c>
      <c r="BI227" s="1" t="e">
        <f>IF(BH227-#REF!=0,"DOĞRU","YANLIŞ")</f>
        <v>#REF!</v>
      </c>
      <c r="BJ227" s="1" t="e">
        <f>#REF!-BH227</f>
        <v>#REF!</v>
      </c>
      <c r="BK227" s="1">
        <v>1</v>
      </c>
      <c r="BM227" s="1">
        <v>0</v>
      </c>
      <c r="BO227" s="1">
        <v>2</v>
      </c>
      <c r="CL227" s="82"/>
      <c r="CM227" s="82"/>
      <c r="CN227" s="82"/>
      <c r="CO227" s="82"/>
      <c r="CP227" s="82" t="s">
        <v>442</v>
      </c>
      <c r="CQ227" s="85">
        <v>44306</v>
      </c>
      <c r="CR227" s="83" t="s">
        <v>531</v>
      </c>
      <c r="CS227" s="93">
        <v>44334</v>
      </c>
      <c r="CT227" s="91" t="s">
        <v>531</v>
      </c>
      <c r="CU227" s="49"/>
      <c r="CV227" s="48"/>
      <c r="CW227" s="49"/>
      <c r="CX227" s="49"/>
    </row>
    <row r="228" spans="1:102" x14ac:dyDescent="0.25">
      <c r="A228" s="88" t="s">
        <v>470</v>
      </c>
      <c r="B228" s="88" t="s">
        <v>471</v>
      </c>
      <c r="C228" s="1" t="s">
        <v>472</v>
      </c>
      <c r="D228" s="2" t="s">
        <v>63</v>
      </c>
      <c r="E228" s="2" t="s">
        <v>63</v>
      </c>
      <c r="F228" s="3" t="s">
        <v>462</v>
      </c>
      <c r="G228" s="1"/>
      <c r="H228" s="1"/>
      <c r="I228" s="88" t="s">
        <v>68</v>
      </c>
      <c r="J228" s="1">
        <v>4234788</v>
      </c>
      <c r="L228" s="2">
        <v>3381</v>
      </c>
      <c r="N228" s="87">
        <v>9</v>
      </c>
      <c r="O228" s="87">
        <f>(Q228)+(R228/2)+(S228)</f>
        <v>6</v>
      </c>
      <c r="P228" s="2">
        <f t="shared" si="149"/>
        <v>8</v>
      </c>
      <c r="Q228" s="2">
        <v>4</v>
      </c>
      <c r="R228" s="2">
        <v>4</v>
      </c>
      <c r="S228" s="2">
        <v>0</v>
      </c>
      <c r="X228" s="90">
        <v>2</v>
      </c>
      <c r="Y228" s="1" t="e">
        <f>VLOOKUP(X228,[28]Sayfa2!I817:L829,2,FALSE)</f>
        <v>#N/A</v>
      </c>
      <c r="Z228" s="1" t="e">
        <f>VLOOKUP(X228,[28]Sayfa2!I817:L834,3,FALSE)</f>
        <v>#N/A</v>
      </c>
      <c r="AA228" s="1" t="e">
        <f>VLOOKUP(X228,[28]Sayfa2!I816:L824,4,FALSE)</f>
        <v>#N/A</v>
      </c>
      <c r="AB228" s="1">
        <f>$M228*[29]ölçme_sistemleri!$J$13</f>
        <v>0</v>
      </c>
      <c r="AC228" s="1">
        <f>$M228*[29]ölçme_sistemleri!$K$13</f>
        <v>0</v>
      </c>
      <c r="AD228" s="1">
        <f>$M228*[29]ölçme_sistemleri!$L$13</f>
        <v>0</v>
      </c>
      <c r="AE228" s="1" t="e">
        <f t="shared" si="150"/>
        <v>#N/A</v>
      </c>
      <c r="AF228" s="1" t="e">
        <f t="shared" si="151"/>
        <v>#N/A</v>
      </c>
      <c r="AG228" s="1" t="e">
        <f t="shared" si="152"/>
        <v>#N/A</v>
      </c>
      <c r="AH228" s="1" t="e">
        <f t="shared" si="153"/>
        <v>#N/A</v>
      </c>
      <c r="AI228" s="1">
        <v>14</v>
      </c>
      <c r="AJ228" s="1" t="e">
        <f>VLOOKUP(X228,[29]ölçme_sistemleri!Q:U,5,FALSE)</f>
        <v>#N/A</v>
      </c>
      <c r="AK228" s="1" t="e">
        <f>(V228+#REF!)*AI228</f>
        <v>#REF!</v>
      </c>
      <c r="AL228" s="1" t="e">
        <f>VLOOKUP(X228,[29]ölçme_sistemleri!Q:V,6,FALSE)</f>
        <v>#N/A</v>
      </c>
      <c r="AM228" s="1">
        <v>2</v>
      </c>
      <c r="AN228" s="1" t="e">
        <f>AL228*AM228</f>
        <v>#N/A</v>
      </c>
      <c r="AO228" s="1">
        <v>14</v>
      </c>
      <c r="AP228" s="1" t="e">
        <f>AO228*#REF!</f>
        <v>#REF!</v>
      </c>
      <c r="AQ228" s="1" t="e">
        <f>AP228+AN228+AK228+AE228+AF228+AG228</f>
        <v>#REF!</v>
      </c>
      <c r="AR228" s="1">
        <f>IF(AS228="s",25,30)</f>
        <v>25</v>
      </c>
      <c r="AS228" s="1" t="s">
        <v>65</v>
      </c>
      <c r="AT228" s="1" t="e">
        <f>ROUND(AQ228/AR228,0)</f>
        <v>#REF!</v>
      </c>
      <c r="AU228" s="1" t="e">
        <f>ROUND(AT228-S228,0)</f>
        <v>#REF!</v>
      </c>
      <c r="AV228" s="1" t="e">
        <f>IF(BE228="s",IF(#REF!=0,0,
IF(#REF!=1,N228*4*4,
IF(#REF!=2,0,
IF(#REF!=3,N228*4*2,
IF(#REF!=4,0,
IF(#REF!=5,0,
IF(#REF!=6,0,
IF(#REF!=7,0)))))))),
IF(BE228="t",
IF(#REF!=0,0,
IF(#REF!=1,N228*4*4*0.8,
IF(#REF!=2,0,
IF(#REF!=3,N228*4*2*0.8,
IF(#REF!=4,0,
IF(#REF!=5,0,
IF(#REF!=6,0,
IF(#REF!=7,0))))))))))</f>
        <v>#REF!</v>
      </c>
      <c r="AW228" s="1" t="e">
        <f>IF(BE228="s",
IF(#REF!=0,0,
IF(#REF!=1,0,
IF(#REF!=2,N228*4*2,
IF(#REF!=3,N228*4,
IF(#REF!=4,N228*4,
IF(#REF!=5,0,
IF(#REF!=6,0,
IF(#REF!=7,N228*4)))))))),
IF(BE228="t",
IF(#REF!=0,0,
IF(#REF!=1,0,
IF(#REF!=2,N228*4*2*0.8,
IF(#REF!=3,N228*4*0.8,
IF(#REF!=4,N228*4*0.8,
IF(#REF!=5,0,
IF(#REF!=6,0,
IF(#REF!=7,N228*4))))))))))</f>
        <v>#REF!</v>
      </c>
      <c r="AX228" s="1" t="e">
        <f>IF(BE228="s",
IF(#REF!=0,0,
IF(#REF!=1,N228*2,
IF(#REF!=2,N228*2,
IF(#REF!=3,N228*2,
IF(#REF!=4,N228*2,
IF(#REF!=5,N228*2,
IF(#REF!=6,N228*2,
IF(#REF!=7,N228*2)))))))),
IF(BE228="t",
IF(#REF!=0,O228*2*0.8,
IF(#REF!=1,N228*2*0.8,
IF(#REF!=2,N228*2*0.8,
IF(#REF!=3,N228*2*0.8,
IF(#REF!=4,N228*2*0.8,
IF(#REF!=5,N228*2*0.8,
IF(#REF!=6,N228*1*0.8,
IF(#REF!=7,N228*2))))))))))</f>
        <v>#REF!</v>
      </c>
      <c r="AY228" s="1" t="e">
        <f t="shared" si="154"/>
        <v>#REF!</v>
      </c>
      <c r="AZ228" s="1" t="e">
        <f>IF(BE228="s",
IF(#REF!=0,0,
IF(#REF!=1,(14-2)*(P228+R228)/4*4,
IF(#REF!=2,(14-2)*(P228+R228)/4*2,
IF(#REF!=3,(14-2)*(P228+R228)/4*3,
IF(#REF!=4,(14-2)*(P228+R228)/4,
IF(#REF!=5,(14-2)*N228/4,
IF(#REF!=6,0,
IF(#REF!=7,(14)*R228)))))))),
IF(BE228="t",
IF(#REF!=0,0,
IF(#REF!=1,(11-2)*(P228+R228)/4*4,
IF(#REF!=2,(11-2)*(P228+R228)/4*2,
IF(#REF!=3,(11-2)*(P228+R228)/4*3,
IF(#REF!=4,(11-2)*(P228+R228)/4,
IF(#REF!=5,(11-2)*N228/4,
IF(#REF!=6,0,
IF(#REF!=7,(11)*N228))))))))))</f>
        <v>#REF!</v>
      </c>
      <c r="BA228" s="1" t="e">
        <f t="shared" si="155"/>
        <v>#REF!</v>
      </c>
      <c r="BB228" s="1" t="e">
        <f>IF(BE228="s",
IF(#REF!=0,0,
IF(#REF!=1,4*5,
IF(#REF!=2,4*3,
IF(#REF!=3,4*4,
IF(#REF!=4,4*2,
IF(#REF!=5,4,
IF(#REF!=6,4/2,
IF(#REF!=7,4*2,)))))))),
IF(BE228="t",
IF(#REF!=0,0,
IF(#REF!=1,4*5,
IF(#REF!=2,4*3,
IF(#REF!=3,4*4,
IF(#REF!=4,4*2,
IF(#REF!=5,4,
IF(#REF!=6,4/2,
IF(#REF!=7,4*2))))))))))</f>
        <v>#REF!</v>
      </c>
      <c r="BC228" s="1" t="e">
        <f t="shared" si="156"/>
        <v>#REF!</v>
      </c>
      <c r="BD228" s="1" t="e">
        <f t="shared" si="157"/>
        <v>#REF!</v>
      </c>
      <c r="BE228" s="1" t="s">
        <v>65</v>
      </c>
      <c r="BF228" s="1">
        <f t="shared" si="158"/>
        <v>84</v>
      </c>
      <c r="BG228" s="1" t="e">
        <f t="shared" si="159"/>
        <v>#REF!</v>
      </c>
      <c r="BH228" s="1" t="e">
        <f t="shared" si="160"/>
        <v>#REF!</v>
      </c>
      <c r="BI228" s="1" t="e">
        <f>IF(BH228-#REF!=0,"DOĞRU","YANLIŞ")</f>
        <v>#REF!</v>
      </c>
      <c r="BJ228" s="1" t="e">
        <f>#REF!-BH228</f>
        <v>#REF!</v>
      </c>
      <c r="BK228" s="1">
        <v>1</v>
      </c>
      <c r="BM228" s="1">
        <v>0</v>
      </c>
      <c r="BO228" s="1">
        <v>2</v>
      </c>
      <c r="CL228" s="82"/>
      <c r="CM228" s="82"/>
      <c r="CN228" s="82"/>
      <c r="CO228" s="82"/>
      <c r="CP228" s="82" t="s">
        <v>442</v>
      </c>
      <c r="CQ228" s="85">
        <v>44306</v>
      </c>
      <c r="CR228" s="83" t="s">
        <v>531</v>
      </c>
      <c r="CS228" s="93">
        <v>44334</v>
      </c>
      <c r="CT228" s="91" t="s">
        <v>531</v>
      </c>
      <c r="CU228" s="48"/>
      <c r="CV228" s="48"/>
      <c r="CW228" s="49"/>
      <c r="CX228" s="49"/>
    </row>
    <row r="229" spans="1:102" x14ac:dyDescent="0.25">
      <c r="A229" s="88" t="s">
        <v>470</v>
      </c>
      <c r="B229" s="88" t="s">
        <v>471</v>
      </c>
      <c r="C229" s="1" t="s">
        <v>472</v>
      </c>
      <c r="D229" s="2" t="s">
        <v>63</v>
      </c>
      <c r="E229" s="2" t="s">
        <v>63</v>
      </c>
      <c r="F229" s="3" t="s">
        <v>462</v>
      </c>
      <c r="G229" s="1"/>
      <c r="H229" s="1"/>
      <c r="I229" s="88" t="s">
        <v>158</v>
      </c>
      <c r="J229" s="1">
        <v>4234780</v>
      </c>
      <c r="L229" s="2">
        <v>3381</v>
      </c>
      <c r="N229" s="87">
        <v>9</v>
      </c>
      <c r="O229" s="87">
        <f>(Q229)+(R229/2)+(S229)</f>
        <v>6</v>
      </c>
      <c r="P229" s="2">
        <f t="shared" si="149"/>
        <v>8</v>
      </c>
      <c r="Q229" s="2">
        <v>4</v>
      </c>
      <c r="R229" s="2">
        <v>4</v>
      </c>
      <c r="S229" s="2">
        <v>0</v>
      </c>
      <c r="X229" s="90">
        <v>2</v>
      </c>
      <c r="Y229" s="1" t="e">
        <f>VLOOKUP(X229,[28]Sayfa2!I815:L827,2,FALSE)</f>
        <v>#N/A</v>
      </c>
      <c r="Z229" s="1" t="e">
        <f>VLOOKUP(X229,[28]Sayfa2!I815:L832,3,FALSE)</f>
        <v>#N/A</v>
      </c>
      <c r="AA229" s="1" t="e">
        <f>VLOOKUP(X229,[28]Sayfa2!I814:L822,4,FALSE)</f>
        <v>#N/A</v>
      </c>
      <c r="AB229" s="1">
        <f>$M229*[29]ölçme_sistemleri!$J$13</f>
        <v>0</v>
      </c>
      <c r="AC229" s="1">
        <f>$M229*[29]ölçme_sistemleri!$K$13</f>
        <v>0</v>
      </c>
      <c r="AD229" s="1">
        <f>$M229*[29]ölçme_sistemleri!$L$13</f>
        <v>0</v>
      </c>
      <c r="AE229" s="1" t="e">
        <f t="shared" si="150"/>
        <v>#N/A</v>
      </c>
      <c r="AF229" s="1" t="e">
        <f t="shared" si="151"/>
        <v>#N/A</v>
      </c>
      <c r="AG229" s="1" t="e">
        <f t="shared" si="152"/>
        <v>#N/A</v>
      </c>
      <c r="AH229" s="1" t="e">
        <f t="shared" si="153"/>
        <v>#N/A</v>
      </c>
      <c r="AI229" s="1">
        <v>14</v>
      </c>
      <c r="AJ229" s="1" t="e">
        <f>VLOOKUP(X229,[29]ölçme_sistemleri!Q:U,5,FALSE)</f>
        <v>#N/A</v>
      </c>
      <c r="AK229" s="1" t="e">
        <f>(V229+#REF!)*AI229</f>
        <v>#REF!</v>
      </c>
      <c r="AL229" s="1" t="e">
        <f>VLOOKUP(X229,[29]ölçme_sistemleri!Q:V,6,FALSE)</f>
        <v>#N/A</v>
      </c>
      <c r="AM229" s="1">
        <v>2</v>
      </c>
      <c r="AN229" s="1" t="e">
        <f>AL229*AM229</f>
        <v>#N/A</v>
      </c>
      <c r="AO229" s="1">
        <v>14</v>
      </c>
      <c r="AP229" s="1" t="e">
        <f>AO229*#REF!</f>
        <v>#REF!</v>
      </c>
      <c r="AQ229" s="1" t="e">
        <f>AP229+AN229+AK229+AE229+AF229+AG229</f>
        <v>#REF!</v>
      </c>
      <c r="AR229" s="1">
        <f>IF(AS229="s",25,30)</f>
        <v>25</v>
      </c>
      <c r="AS229" s="1" t="s">
        <v>65</v>
      </c>
      <c r="AT229" s="1" t="e">
        <f>ROUND(AQ229/AR229,0)</f>
        <v>#REF!</v>
      </c>
      <c r="AU229" s="1" t="e">
        <f>ROUND(AT229-S229,0)</f>
        <v>#REF!</v>
      </c>
      <c r="AV229" s="1" t="e">
        <f>IF(BE229="s",IF(#REF!=0,0,
IF(#REF!=1,N229*4*4,
IF(#REF!=2,0,
IF(#REF!=3,N229*4*2,
IF(#REF!=4,0,
IF(#REF!=5,0,
IF(#REF!=6,0,
IF(#REF!=7,0)))))))),
IF(BE229="t",
IF(#REF!=0,0,
IF(#REF!=1,N229*4*4*0.8,
IF(#REF!=2,0,
IF(#REF!=3,N229*4*2*0.8,
IF(#REF!=4,0,
IF(#REF!=5,0,
IF(#REF!=6,0,
IF(#REF!=7,0))))))))))</f>
        <v>#REF!</v>
      </c>
      <c r="AW229" s="1" t="e">
        <f>IF(BE229="s",
IF(#REF!=0,0,
IF(#REF!=1,0,
IF(#REF!=2,N229*4*2,
IF(#REF!=3,N229*4,
IF(#REF!=4,N229*4,
IF(#REF!=5,0,
IF(#REF!=6,0,
IF(#REF!=7,N229*4)))))))),
IF(BE229="t",
IF(#REF!=0,0,
IF(#REF!=1,0,
IF(#REF!=2,N229*4*2*0.8,
IF(#REF!=3,N229*4*0.8,
IF(#REF!=4,N229*4*0.8,
IF(#REF!=5,0,
IF(#REF!=6,0,
IF(#REF!=7,N229*4))))))))))</f>
        <v>#REF!</v>
      </c>
      <c r="AX229" s="1" t="e">
        <f>IF(BE229="s",
IF(#REF!=0,0,
IF(#REF!=1,N229*2,
IF(#REF!=2,N229*2,
IF(#REF!=3,N229*2,
IF(#REF!=4,N229*2,
IF(#REF!=5,N229*2,
IF(#REF!=6,N229*2,
IF(#REF!=7,N229*2)))))))),
IF(BE229="t",
IF(#REF!=0,O229*2*0.8,
IF(#REF!=1,N229*2*0.8,
IF(#REF!=2,N229*2*0.8,
IF(#REF!=3,N229*2*0.8,
IF(#REF!=4,N229*2*0.8,
IF(#REF!=5,N229*2*0.8,
IF(#REF!=6,N229*1*0.8,
IF(#REF!=7,N229*2))))))))))</f>
        <v>#REF!</v>
      </c>
      <c r="AY229" s="1" t="e">
        <f t="shared" si="154"/>
        <v>#REF!</v>
      </c>
      <c r="AZ229" s="1" t="e">
        <f>IF(BE229="s",
IF(#REF!=0,0,
IF(#REF!=1,(14-2)*(P229+R229)/4*4,
IF(#REF!=2,(14-2)*(P229+R229)/4*2,
IF(#REF!=3,(14-2)*(P229+R229)/4*3,
IF(#REF!=4,(14-2)*(P229+R229)/4,
IF(#REF!=5,(14-2)*N229/4,
IF(#REF!=6,0,
IF(#REF!=7,(14)*R229)))))))),
IF(BE229="t",
IF(#REF!=0,0,
IF(#REF!=1,(11-2)*(P229+R229)/4*4,
IF(#REF!=2,(11-2)*(P229+R229)/4*2,
IF(#REF!=3,(11-2)*(P229+R229)/4*3,
IF(#REF!=4,(11-2)*(P229+R229)/4,
IF(#REF!=5,(11-2)*N229/4,
IF(#REF!=6,0,
IF(#REF!=7,(11)*N229))))))))))</f>
        <v>#REF!</v>
      </c>
      <c r="BA229" s="1" t="e">
        <f t="shared" si="155"/>
        <v>#REF!</v>
      </c>
      <c r="BB229" s="1" t="e">
        <f>IF(BE229="s",
IF(#REF!=0,0,
IF(#REF!=1,4*5,
IF(#REF!=2,4*3,
IF(#REF!=3,4*4,
IF(#REF!=4,4*2,
IF(#REF!=5,4,
IF(#REF!=6,4/2,
IF(#REF!=7,4*2,)))))))),
IF(BE229="t",
IF(#REF!=0,0,
IF(#REF!=1,4*5,
IF(#REF!=2,4*3,
IF(#REF!=3,4*4,
IF(#REF!=4,4*2,
IF(#REF!=5,4,
IF(#REF!=6,4/2,
IF(#REF!=7,4*2))))))))))</f>
        <v>#REF!</v>
      </c>
      <c r="BC229" s="1" t="e">
        <f t="shared" si="156"/>
        <v>#REF!</v>
      </c>
      <c r="BD229" s="1" t="e">
        <f t="shared" si="157"/>
        <v>#REF!</v>
      </c>
      <c r="BE229" s="1" t="s">
        <v>65</v>
      </c>
      <c r="BF229" s="1">
        <f t="shared" si="158"/>
        <v>84</v>
      </c>
      <c r="BG229" s="1" t="e">
        <f t="shared" si="159"/>
        <v>#REF!</v>
      </c>
      <c r="BH229" s="1" t="e">
        <f t="shared" si="160"/>
        <v>#REF!</v>
      </c>
      <c r="BI229" s="1" t="e">
        <f>IF(BH229-#REF!=0,"DOĞRU","YANLIŞ")</f>
        <v>#REF!</v>
      </c>
      <c r="BJ229" s="1" t="e">
        <f>#REF!-BH229</f>
        <v>#REF!</v>
      </c>
      <c r="BK229" s="1">
        <v>1</v>
      </c>
      <c r="BM229" s="1">
        <v>0</v>
      </c>
      <c r="BO229" s="1">
        <v>2</v>
      </c>
      <c r="CL229" s="82"/>
      <c r="CM229" s="82"/>
      <c r="CN229" s="82"/>
      <c r="CO229" s="82"/>
      <c r="CP229" s="82" t="s">
        <v>442</v>
      </c>
      <c r="CQ229" s="85">
        <v>44306</v>
      </c>
      <c r="CR229" s="83" t="s">
        <v>531</v>
      </c>
      <c r="CS229" s="93">
        <v>44334</v>
      </c>
      <c r="CT229" s="91" t="s">
        <v>531</v>
      </c>
      <c r="CU229" s="48"/>
      <c r="CV229" s="48"/>
      <c r="CW229" s="49"/>
      <c r="CX229" s="49"/>
    </row>
    <row r="230" spans="1:102" hidden="1" x14ac:dyDescent="0.25">
      <c r="A230" s="1" t="s">
        <v>76</v>
      </c>
      <c r="B230" s="1" t="s">
        <v>77</v>
      </c>
      <c r="C230" s="1" t="s">
        <v>77</v>
      </c>
      <c r="D230" s="2" t="s">
        <v>58</v>
      </c>
      <c r="E230" s="2" t="s">
        <v>58</v>
      </c>
      <c r="F230" s="3" t="e">
        <f>IF(BE230="S",
IF(#REF!+BM230=2018,
IF(#REF!=1,"18-19/1",
IF(#REF!=2,"18-19/2",
IF(#REF!=3,"19-20/1",
IF(#REF!=4,"19-20/2",
IF(#REF!=5,"20-21/1",
IF(#REF!=6,"20-21/2",
IF(#REF!=7,"21-22/1",
IF(#REF!=8,"21-22/2","Hata1")))))))),
IF(#REF!+BM230=2019,
IF(#REF!=1,"19-20/1",
IF(#REF!=2,"19-20/2",
IF(#REF!=3,"20-21/1",
IF(#REF!=4,"20-21/2",
IF(#REF!=5,"21-22/1",
IF(#REF!=6,"21-22/2",
IF(#REF!=7,"22-23/1",
IF(#REF!=8,"22-23/2","Hata2")))))))),
IF(#REF!+BM230=2020,
IF(#REF!=1,"20-21/1",
IF(#REF!=2,"20-21/2",
IF(#REF!=3,"21-22/1",
IF(#REF!=4,"21-22/2",
IF(#REF!=5,"22-23/1",
IF(#REF!=6,"22-23/2",
IF(#REF!=7,"23-24/1",
IF(#REF!=8,"23-24/2","Hata3")))))))),
IF(#REF!+BM230=2021,
IF(#REF!=1,"21-22/1",
IF(#REF!=2,"21-22/2",
IF(#REF!=3,"22-23/1",
IF(#REF!=4,"22-23/2",
IF(#REF!=5,"23-24/1",
IF(#REF!=6,"23-24/2",
IF(#REF!=7,"24-25/1",
IF(#REF!=8,"24-25/2","Hata4")))))))),
IF(#REF!+BM230=2022,
IF(#REF!=1,"22-23/1",
IF(#REF!=2,"22-23/2",
IF(#REF!=3,"23-24/1",
IF(#REF!=4,"23-24/2",
IF(#REF!=5,"24-25/1",
IF(#REF!=6,"24-25/2",
IF(#REF!=7,"25-26/1",
IF(#REF!=8,"25-26/2","Hata5")))))))),
IF(#REF!+BM230=2023,
IF(#REF!=1,"23-24/1",
IF(#REF!=2,"23-24/2",
IF(#REF!=3,"24-25/1",
IF(#REF!=4,"24-25/2",
IF(#REF!=5,"25-26/1",
IF(#REF!=6,"25-26/2",
IF(#REF!=7,"26-27/1",
IF(#REF!=8,"26-27/2","Hata6")))))))),
)))))),
IF(BE230="T",
IF(#REF!+BM230=2018,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0" s="1" t="s">
        <v>145</v>
      </c>
      <c r="J230" s="1">
        <v>4234778</v>
      </c>
      <c r="L230" s="2">
        <v>3401</v>
      </c>
      <c r="N230" s="2">
        <v>4</v>
      </c>
      <c r="O230" s="6">
        <f>(S230)+(R230/2)+(Q230)</f>
        <v>2</v>
      </c>
      <c r="P230" s="2">
        <f t="shared" si="149"/>
        <v>2</v>
      </c>
      <c r="Q230" s="2">
        <v>0</v>
      </c>
      <c r="R230" s="2">
        <v>0</v>
      </c>
      <c r="S230" s="2">
        <v>2</v>
      </c>
      <c r="X230" s="3">
        <v>7</v>
      </c>
      <c r="Y230" s="1">
        <f>VLOOKUP($X230,[30]ölçme_sistemleri!I:L,2,FALSE)</f>
        <v>0</v>
      </c>
      <c r="Z230" s="1">
        <f>VLOOKUP($X230,[30]ölçme_sistemleri!I:L,3,FALSE)</f>
        <v>1</v>
      </c>
      <c r="AA230" s="1">
        <f>VLOOKUP($X230,[30]ölçme_sistemleri!I:L,4,FALSE)</f>
        <v>1</v>
      </c>
      <c r="AB230" s="1">
        <f>$O230*[30]ölçme_sistemleri!J$13</f>
        <v>2</v>
      </c>
      <c r="AC230" s="1">
        <f>$O230*[30]ölçme_sistemleri!K$13</f>
        <v>4</v>
      </c>
      <c r="AD230" s="1">
        <f>$O230*[30]ölçme_sistemleri!L$13</f>
        <v>6</v>
      </c>
      <c r="AE230" s="1">
        <f t="shared" si="150"/>
        <v>0</v>
      </c>
      <c r="AF230" s="1">
        <f t="shared" si="151"/>
        <v>4</v>
      </c>
      <c r="AG230" s="1">
        <f t="shared" si="152"/>
        <v>6</v>
      </c>
      <c r="AH230" s="1">
        <f t="shared" si="153"/>
        <v>10</v>
      </c>
      <c r="AI230" s="1">
        <v>14</v>
      </c>
      <c r="AJ230" s="1">
        <f>VLOOKUP(X230,[30]ölçme_sistemleri!I:M,5,FALSE)</f>
        <v>1</v>
      </c>
      <c r="AK230" s="1">
        <f>SUM(AE230,AF230,AG230)*AI230</f>
        <v>140</v>
      </c>
      <c r="AL230" s="1">
        <f>AI230*4</f>
        <v>56</v>
      </c>
      <c r="AM230" s="1">
        <f>VLOOKUP(X230,[30]ölçme_sistemleri!I:N,6,FALSE)</f>
        <v>2</v>
      </c>
      <c r="AN230" s="1">
        <v>2</v>
      </c>
      <c r="AO230" s="1">
        <f>AM230*AN230</f>
        <v>4</v>
      </c>
      <c r="AP230" s="1">
        <v>14</v>
      </c>
      <c r="AQ230" s="1">
        <f>AP230*P230</f>
        <v>28</v>
      </c>
      <c r="AR230" s="1">
        <f>AQ230+AO230+AL230+AE230+AF230+AG230</f>
        <v>98</v>
      </c>
      <c r="AS230" s="1">
        <f>IF(BE230="s",25,25)</f>
        <v>25</v>
      </c>
      <c r="AT230" s="1">
        <f>ROUND(AR230/AS230,0)</f>
        <v>4</v>
      </c>
      <c r="AU230" s="1">
        <f>ROUND(AT230-N230,0)</f>
        <v>0</v>
      </c>
      <c r="AV230" s="1">
        <f>IF(BE230="s",IF(W230=0,0,
IF(W230=1,N230*4*4,
IF(W230=2,0,
IF(W230=3,N230*4*2,
IF(W230=4,0,
IF(W230=5,0,
IF(W230=6,0,
IF(W230=7,0)))))))),
IF(BE230="t",
IF(W230=0,0,
IF(W230=1,N230*4*4*0.8,
IF(W230=2,0,
IF(W230=3,N230*4*2*0.8,
IF(W230=4,0,
IF(W230=5,0,
IF(W230=6,0,
IF(W230=7,0))))))))))</f>
        <v>0</v>
      </c>
      <c r="AW230" s="1">
        <f>IF(BE230="s",
IF(W230=0,0,
IF(W230=1,0,
IF(W230=2,N230*4*2,
IF(W230=3,N230*4,
IF(W230=4,N230*4,
IF(W230=5,0,
IF(W230=6,0,
IF(W230=7,N230*4)))))))),
IF(BE230="t",
IF(W230=0,0,
IF(W230=1,0,
IF(W230=2,N230*4*2*0.8,
IF(W230=3,N230*4*0.8,
IF(W230=4,N230*4*0.8,
IF(W230=5,0,
IF(W230=6,0,
IF(W230=7,N230*4))))))))))</f>
        <v>0</v>
      </c>
      <c r="AX230" s="1">
        <f>IF(BE230="s",
IF(W230=0,0,
IF(W230=1,N230*2,
IF(W230=2,N230*2,
IF(W230=3,N230*2,
IF(W230=4,N230*2,
IF(W230=5,N230*2,
IF(W230=6,N230*2,
IF(W230=7,N230*2)))))))),
IF(BE230="t",
IF(W230=0,O230*2*0.8,
IF(W230=1,N230*2*0.8,
IF(W230=2,N230*2*0.8,
IF(W230=3,N230*2*0.8,
IF(W230=4,N230*2*0.8,
IF(W230=5,N230*2*0.8,
IF(W230=6,N230*1*0.8,
IF(W230=7,N230*2))))))))))</f>
        <v>0</v>
      </c>
      <c r="AY230" s="1">
        <f t="shared" si="154"/>
        <v>-10</v>
      </c>
      <c r="AZ230" s="1">
        <f>IF(BE230="s",
IF(W230=0,0,
IF(W230=1,(14-2)*(P230+R230)/4*4,
IF(W230=2,(14-2)*(P230+R230)/4*2,
IF(W230=3,(14-2)*(P230+R230)/4*3,
IF(W230=4,(14-2)*(P230+R230)/4,
IF(W230=5,(14-2)*N230/4,
IF(W230=6,0,
IF(W230=7,(14)*R230)))))))),
IF(BE230="t",
IF(W230=0,0,
IF(W230=1,(11-2)*(P230+R230)/4*4,
IF(W230=2,(11-2)*(P230+R230)/4*2,
IF(W230=3,(11-2)*(P230+R230)/4*3,
IF(W230=4,(11-2)*(P230+R230)/4,
IF(W230=5,(11-2)*N230/4,
IF(W230=6,0,
IF(W230=7,(11)*N230))))))))))</f>
        <v>0</v>
      </c>
      <c r="BA230" s="1">
        <f t="shared" si="155"/>
        <v>-56</v>
      </c>
      <c r="BB230" s="1">
        <f>IF(BE230="s",
IF(W230=0,0,
IF(W230=1,4*5,
IF(W230=2,4*3,
IF(W230=3,4*4,
IF(W230=4,4*2,
IF(W230=5,4,
IF(W230=6,4/2,
IF(W230=7,4*2,)))))))),
IF(BE230="t",
IF(W230=0,0,
IF(W230=1,4*5,
IF(W230=2,4*3,
IF(W230=3,4*4,
IF(W230=4,4*2,
IF(W230=5,4,
IF(W230=6,4/2,
IF(W230=7,4*2))))))))))</f>
        <v>0</v>
      </c>
      <c r="BC230" s="1">
        <f t="shared" si="156"/>
        <v>-4</v>
      </c>
      <c r="BD230" s="1">
        <f t="shared" si="157"/>
        <v>0</v>
      </c>
      <c r="BE230" s="1" t="s">
        <v>65</v>
      </c>
      <c r="BF230" s="1">
        <f t="shared" si="158"/>
        <v>28</v>
      </c>
      <c r="BG230" s="1">
        <f t="shared" si="159"/>
        <v>28</v>
      </c>
      <c r="BH230" s="1">
        <f t="shared" si="160"/>
        <v>1</v>
      </c>
      <c r="BI230" s="1" t="e">
        <f>IF(BH230-#REF!=0,"DOĞRU","YANLIŞ")</f>
        <v>#REF!</v>
      </c>
      <c r="BJ230" s="1" t="e">
        <f>#REF!-BH230</f>
        <v>#REF!</v>
      </c>
      <c r="BK230" s="1">
        <v>0</v>
      </c>
      <c r="BM230" s="1">
        <v>0</v>
      </c>
      <c r="BO230" s="1">
        <v>4</v>
      </c>
      <c r="BT230" s="8">
        <f>R230*14</f>
        <v>0</v>
      </c>
      <c r="BU230" s="9"/>
      <c r="BV230" s="10"/>
      <c r="BW230" s="11"/>
      <c r="BX230" s="11"/>
      <c r="BY230" s="11"/>
      <c r="BZ230" s="11"/>
      <c r="CA230" s="11"/>
      <c r="CB230" s="12"/>
      <c r="CC230" s="13"/>
      <c r="CD230" s="14"/>
      <c r="CL230" s="11"/>
      <c r="CM230" s="11"/>
      <c r="CN230" s="11"/>
      <c r="CO230" s="11"/>
      <c r="CP230" s="11"/>
      <c r="CQ230" s="46"/>
      <c r="CR230" s="46"/>
      <c r="CS230" s="48"/>
      <c r="CT230" s="48"/>
      <c r="CU230" s="48"/>
      <c r="CV230" s="48"/>
      <c r="CW230" s="49"/>
      <c r="CX230" s="49"/>
    </row>
    <row r="231" spans="1:102" x14ac:dyDescent="0.25">
      <c r="A231" s="88" t="s">
        <v>460</v>
      </c>
      <c r="B231" s="88" t="s">
        <v>461</v>
      </c>
      <c r="C231" s="1" t="s">
        <v>461</v>
      </c>
      <c r="D231" s="2" t="s">
        <v>63</v>
      </c>
      <c r="E231" s="2" t="s">
        <v>63</v>
      </c>
      <c r="F231" s="3" t="s">
        <v>462</v>
      </c>
      <c r="H231" s="1"/>
      <c r="I231" s="88" t="s">
        <v>145</v>
      </c>
      <c r="J231" s="1">
        <v>4234778</v>
      </c>
      <c r="L231" s="2">
        <v>3055</v>
      </c>
      <c r="N231" s="87">
        <v>9</v>
      </c>
      <c r="O231" s="87">
        <v>6</v>
      </c>
      <c r="P231" s="2">
        <v>8</v>
      </c>
      <c r="Q231" s="2">
        <v>4</v>
      </c>
      <c r="R231" s="2">
        <v>4</v>
      </c>
      <c r="S231" s="2">
        <v>0</v>
      </c>
      <c r="X231" s="90">
        <v>2</v>
      </c>
      <c r="Y231" s="1" t="e">
        <v>#N/A</v>
      </c>
      <c r="Z231" s="1" t="e">
        <v>#N/A</v>
      </c>
      <c r="AA231" s="1" t="e">
        <v>#N/A</v>
      </c>
      <c r="AB231" s="1">
        <v>0</v>
      </c>
      <c r="AC231" s="1">
        <v>0</v>
      </c>
      <c r="AD231" s="1">
        <v>0</v>
      </c>
      <c r="AE231" s="1" t="e">
        <v>#N/A</v>
      </c>
      <c r="AF231" s="1" t="e">
        <v>#N/A</v>
      </c>
      <c r="AG231" s="1" t="e">
        <v>#N/A</v>
      </c>
      <c r="AH231" s="1" t="e">
        <v>#N/A</v>
      </c>
      <c r="AI231" s="1">
        <v>14</v>
      </c>
      <c r="AJ231" s="1" t="e">
        <v>#N/A</v>
      </c>
      <c r="AK231" s="1" t="e">
        <v>#VALUE!</v>
      </c>
      <c r="AL231" s="1" t="e">
        <v>#N/A</v>
      </c>
      <c r="AM231" s="1">
        <v>2</v>
      </c>
      <c r="AN231" s="1" t="e">
        <v>#N/A</v>
      </c>
      <c r="AO231" s="1">
        <v>14</v>
      </c>
      <c r="AP231" s="1">
        <v>0</v>
      </c>
      <c r="AQ231" s="1" t="e">
        <v>#N/A</v>
      </c>
      <c r="AR231" s="1">
        <v>25</v>
      </c>
      <c r="AS231" s="1" t="s">
        <v>65</v>
      </c>
      <c r="AT231" s="1" t="e">
        <v>#N/A</v>
      </c>
      <c r="AU231" s="1" t="e">
        <v>#N/A</v>
      </c>
      <c r="AV231" s="1">
        <v>0</v>
      </c>
      <c r="AW231" s="1">
        <v>0</v>
      </c>
      <c r="AX231" s="1">
        <v>0</v>
      </c>
      <c r="AY231" s="1" t="e">
        <v>#N/A</v>
      </c>
      <c r="AZ231" s="1">
        <v>0</v>
      </c>
      <c r="BA231" s="1" t="e">
        <v>#N/A</v>
      </c>
      <c r="BB231" s="1">
        <v>0</v>
      </c>
      <c r="BC231" s="1">
        <v>-14</v>
      </c>
      <c r="BD231" s="1">
        <v>0</v>
      </c>
      <c r="BE231" s="1" t="s">
        <v>65</v>
      </c>
      <c r="BF231" s="1">
        <v>84</v>
      </c>
      <c r="BG231" s="1">
        <v>84</v>
      </c>
      <c r="BH231" s="1">
        <v>3</v>
      </c>
      <c r="BI231" s="1" t="e">
        <v>#REF!</v>
      </c>
      <c r="BJ231" s="1" t="e">
        <v>#REF!</v>
      </c>
      <c r="BK231" s="1">
        <v>1</v>
      </c>
      <c r="BM231" s="1">
        <v>0</v>
      </c>
      <c r="BO231" s="1">
        <v>2</v>
      </c>
      <c r="CL231" s="82"/>
      <c r="CM231" s="82"/>
      <c r="CN231" s="82"/>
      <c r="CO231" s="82"/>
      <c r="CP231" s="82" t="s">
        <v>442</v>
      </c>
      <c r="CQ231" s="85">
        <v>44307</v>
      </c>
      <c r="CR231" s="83" t="s">
        <v>531</v>
      </c>
      <c r="CS231" s="93">
        <v>44333</v>
      </c>
      <c r="CT231" s="91" t="s">
        <v>532</v>
      </c>
      <c r="CU231" s="48"/>
      <c r="CV231" s="48"/>
      <c r="CW231" s="49"/>
      <c r="CX231" s="49"/>
    </row>
    <row r="232" spans="1:102" hidden="1" x14ac:dyDescent="0.25">
      <c r="A232" s="1" t="s">
        <v>249</v>
      </c>
      <c r="B232" s="1" t="s">
        <v>250</v>
      </c>
      <c r="C232" s="1" t="s">
        <v>250</v>
      </c>
      <c r="D232" s="2" t="s">
        <v>63</v>
      </c>
      <c r="E232" s="2" t="s">
        <v>63</v>
      </c>
      <c r="F232" s="3" t="e">
        <f>IF(BE232="S",
IF(#REF!+BM232=2018,
IF(#REF!=1,"18-19/1",
IF(#REF!=2,"18-19/2",
IF(#REF!=3,"19-20/1",
IF(#REF!=4,"19-20/2",
IF(#REF!=5,"20-21/1",
IF(#REF!=6,"20-21/2",
IF(#REF!=7,"21-22/1",
IF(#REF!=8,"21-22/2","Hata1")))))))),
IF(#REF!+BM232=2019,
IF(#REF!=1,"19-20/1",
IF(#REF!=2,"19-20/2",
IF(#REF!=3,"20-21/1",
IF(#REF!=4,"20-21/2",
IF(#REF!=5,"21-22/1",
IF(#REF!=6,"21-22/2",
IF(#REF!=7,"22-23/1",
IF(#REF!=8,"22-23/2","Hata2")))))))),
IF(#REF!+BM232=2020,
IF(#REF!=1,"20-21/1",
IF(#REF!=2,"20-21/2",
IF(#REF!=3,"21-22/1",
IF(#REF!=4,"21-22/2",
IF(#REF!=5,"22-23/1",
IF(#REF!=6,"22-23/2",
IF(#REF!=7,"23-24/1",
IF(#REF!=8,"23-24/2","Hata3")))))))),
IF(#REF!+BM232=2021,
IF(#REF!=1,"21-22/1",
IF(#REF!=2,"21-22/2",
IF(#REF!=3,"22-23/1",
IF(#REF!=4,"22-23/2",
IF(#REF!=5,"23-24/1",
IF(#REF!=6,"23-24/2",
IF(#REF!=7,"24-25/1",
IF(#REF!=8,"24-25/2","Hata4")))))))),
IF(#REF!+BM232=2022,
IF(#REF!=1,"22-23/1",
IF(#REF!=2,"22-23/2",
IF(#REF!=3,"23-24/1",
IF(#REF!=4,"23-24/2",
IF(#REF!=5,"24-25/1",
IF(#REF!=6,"24-25/2",
IF(#REF!=7,"25-26/1",
IF(#REF!=8,"25-26/2","Hata5")))))))),
IF(#REF!+BM232=2023,
IF(#REF!=1,"23-24/1",
IF(#REF!=2,"23-24/2",
IF(#REF!=3,"24-25/1",
IF(#REF!=4,"24-25/2",
IF(#REF!=5,"25-26/1",
IF(#REF!=6,"25-26/2",
IF(#REF!=7,"26-27/1",
IF(#REF!=8,"26-27/2","Hata6")))))))),
)))))),
IF(BE232="T",
IF(#REF!+BM232=2018,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2" s="1" t="s">
        <v>145</v>
      </c>
      <c r="J232" s="1">
        <v>4234778</v>
      </c>
      <c r="L232" s="2">
        <v>3501</v>
      </c>
      <c r="N232" s="2">
        <v>5</v>
      </c>
      <c r="O232" s="6">
        <f>(S232)+(R232/2)+(Q232)</f>
        <v>3</v>
      </c>
      <c r="P232" s="2">
        <f>Q232+R232+S232</f>
        <v>3</v>
      </c>
      <c r="Q232" s="2">
        <v>3</v>
      </c>
      <c r="R232" s="2">
        <v>0</v>
      </c>
      <c r="S232" s="2">
        <v>0</v>
      </c>
      <c r="X232" s="3">
        <v>3</v>
      </c>
      <c r="Y232" s="1">
        <f>VLOOKUP($X232,[30]ölçme_sistemleri!I:L,2,FALSE)</f>
        <v>2</v>
      </c>
      <c r="Z232" s="1">
        <f>VLOOKUP($X232,[30]ölçme_sistemleri!I:L,3,FALSE)</f>
        <v>1</v>
      </c>
      <c r="AA232" s="1">
        <f>VLOOKUP($X232,[30]ölçme_sistemleri!I:L,4,FALSE)</f>
        <v>1</v>
      </c>
      <c r="AB232" s="1">
        <f>$O232*[30]ölçme_sistemleri!J$13</f>
        <v>3</v>
      </c>
      <c r="AC232" s="1">
        <f>$O232*[30]ölçme_sistemleri!K$13</f>
        <v>6</v>
      </c>
      <c r="AD232" s="1">
        <f>$O232*[30]ölçme_sistemleri!L$13</f>
        <v>9</v>
      </c>
      <c r="AE232" s="1">
        <f>Y232*AB232</f>
        <v>6</v>
      </c>
      <c r="AF232" s="1">
        <f>Z232*AC232</f>
        <v>6</v>
      </c>
      <c r="AG232" s="1">
        <f>AA232*AD232</f>
        <v>9</v>
      </c>
      <c r="AH232" s="1">
        <f>SUM(AE232:AG232)</f>
        <v>21</v>
      </c>
      <c r="AI232" s="1">
        <v>14</v>
      </c>
      <c r="AJ232" s="1">
        <f>VLOOKUP(X232,[30]ölçme_sistemleri!I:M,5,FALSE)</f>
        <v>3</v>
      </c>
      <c r="AK232" s="1">
        <f>SUM(AE232,AF232,AG232)*AI232</f>
        <v>294</v>
      </c>
      <c r="AL232" s="1">
        <f>(Q232+S232)*AI232</f>
        <v>42</v>
      </c>
      <c r="AM232" s="1">
        <f>VLOOKUP(X232,[30]ölçme_sistemleri!I:N,6,FALSE)</f>
        <v>4</v>
      </c>
      <c r="AN232" s="1">
        <v>2</v>
      </c>
      <c r="AO232" s="1">
        <f>AM232*AN232</f>
        <v>8</v>
      </c>
      <c r="AP232" s="1">
        <v>14</v>
      </c>
      <c r="AQ232" s="1">
        <f>AP232*P232</f>
        <v>42</v>
      </c>
      <c r="AR232" s="1">
        <f>AQ232+AO232+AL232+AE232+AF232+AG232</f>
        <v>113</v>
      </c>
      <c r="AS232" s="1">
        <f>IF(BE232="s",25,25)</f>
        <v>25</v>
      </c>
      <c r="AT232" s="1">
        <f>ROUND(AR232/AS232,0)</f>
        <v>5</v>
      </c>
      <c r="AU232" s="1">
        <f>ROUND(AT232-N232,0)</f>
        <v>0</v>
      </c>
      <c r="AV232" s="1">
        <f>IF(BE232="s",IF(W232=0,0,
IF(W232=1,N232*4*4,
IF(W232=2,0,
IF(W232=3,N232*4*2,
IF(W232=4,0,
IF(W232=5,0,
IF(W232=6,0,
IF(W232=7,0)))))))),
IF(BE232="t",
IF(W232=0,0,
IF(W232=1,N232*4*4*0.8,
IF(W232=2,0,
IF(W232=3,N232*4*2*0.8,
IF(W232=4,0,
IF(W232=5,0,
IF(W232=6,0,
IF(W232=7,0))))))))))</f>
        <v>0</v>
      </c>
      <c r="AW232" s="1">
        <f>IF(BE232="s",
IF(W232=0,0,
IF(W232=1,0,
IF(W232=2,N232*4*2,
IF(W232=3,N232*4,
IF(W232=4,N232*4,
IF(W232=5,0,
IF(W232=6,0,
IF(W232=7,N232*4)))))))),
IF(BE232="t",
IF(W232=0,0,
IF(W232=1,0,
IF(W232=2,N232*4*2*0.8,
IF(W232=3,N232*4*0.8,
IF(W232=4,N232*4*0.8,
IF(W232=5,0,
IF(W232=6,0,
IF(W232=7,N232*4))))))))))</f>
        <v>0</v>
      </c>
      <c r="AX232" s="1">
        <f>IF(BE232="s",
IF(W232=0,0,
IF(W232=1,N232*2,
IF(W232=2,N232*2,
IF(W232=3,N232*2,
IF(W232=4,N232*2,
IF(W232=5,N232*2,
IF(W232=6,N232*2,
IF(W232=7,N232*2)))))))),
IF(BE232="t",
IF(W232=0,O232*2*0.8,
IF(W232=1,N232*2*0.8,
IF(W232=2,N232*2*0.8,
IF(W232=3,N232*2*0.8,
IF(W232=4,N232*2*0.8,
IF(W232=5,N232*2*0.8,
IF(W232=6,N232*1*0.8,
IF(W232=7,N232*2))))))))))</f>
        <v>0</v>
      </c>
      <c r="AY232" s="1">
        <f>SUM(AV232:AX232)-SUM(AD232:AF232)</f>
        <v>-21</v>
      </c>
      <c r="AZ232" s="1">
        <f>IF(BE232="s",
IF(W232=0,0,
IF(W232=1,(14-2)*(P232+R232)/4*4,
IF(W232=2,(14-2)*(P232+R232)/4*2,
IF(W232=3,(14-2)*(P232+R232)/4*3,
IF(W232=4,(14-2)*(P232+R232)/4,
IF(W232=5,(14-2)*N232/4,
IF(W232=6,0,
IF(W232=7,(14)*R232)))))))),
IF(BE232="t",
IF(W232=0,0,
IF(W232=1,(11-2)*(P232+R232)/4*4,
IF(W232=2,(11-2)*(P232+R232)/4*2,
IF(W232=3,(11-2)*(P232+R232)/4*3,
IF(W232=4,(11-2)*(P232+R232)/4,
IF(W232=5,(11-2)*N232/4,
IF(W232=6,0,
IF(W232=7,(11)*N232))))))))))</f>
        <v>0</v>
      </c>
      <c r="BA232" s="1">
        <f>AZ232-AL232</f>
        <v>-42</v>
      </c>
      <c r="BB232" s="1">
        <f>IF(BE232="s",
IF(W232=0,0,
IF(W232=1,4*5,
IF(W232=2,4*3,
IF(W232=3,4*4,
IF(W232=4,4*2,
IF(W232=5,4,
IF(W232=6,4/2,
IF(W232=7,4*2,)))))))),
IF(BE232="t",
IF(W232=0,0,
IF(W232=1,4*5,
IF(W232=2,4*3,
IF(W232=3,4*4,
IF(W232=4,4*2,
IF(W232=5,4,
IF(W232=6,4/2,
IF(W232=7,4*2))))))))))</f>
        <v>0</v>
      </c>
      <c r="BC232" s="1">
        <f>BB232-AO232</f>
        <v>-8</v>
      </c>
      <c r="BD232" s="1">
        <f>AV232+AW232+AX232+(IF(BK232=1,(AZ232)*2,AZ232))+BB232</f>
        <v>0</v>
      </c>
      <c r="BE232" s="1" t="s">
        <v>65</v>
      </c>
      <c r="BF232" s="1">
        <f>IF(BL232="A",0,IF(BE232="s",14*O232,IF(BE232="T",11*O232,"HATA")))</f>
        <v>42</v>
      </c>
      <c r="BG232" s="1">
        <f>IF(BL232="Z",(BF232+BD232)*1.15,(BF232+BD232))</f>
        <v>42</v>
      </c>
      <c r="BH232" s="1">
        <f>IF(BE232="s",ROUND(BG232/30,0),IF(BE232="T",ROUND(BG232/25,0),"HATA"))</f>
        <v>1</v>
      </c>
      <c r="BI232" s="1" t="e">
        <f>IF(BH232-#REF!=0,"DOĞRU","YANLIŞ")</f>
        <v>#REF!</v>
      </c>
      <c r="BJ232" s="1" t="e">
        <f>#REF!-BH232</f>
        <v>#REF!</v>
      </c>
      <c r="BK232" s="1">
        <v>0</v>
      </c>
      <c r="BM232" s="1">
        <v>0</v>
      </c>
      <c r="BO232" s="1">
        <v>4</v>
      </c>
      <c r="BT232" s="8">
        <f>R232*14</f>
        <v>0</v>
      </c>
      <c r="BU232" s="9"/>
      <c r="BV232" s="10"/>
      <c r="BW232" s="11"/>
      <c r="BX232" s="11"/>
      <c r="BY232" s="11"/>
      <c r="BZ232" s="11"/>
      <c r="CA232" s="11"/>
      <c r="CB232" s="12"/>
      <c r="CC232" s="13"/>
      <c r="CD232" s="14"/>
      <c r="CL232" s="11"/>
      <c r="CM232" s="11"/>
      <c r="CN232" s="11"/>
      <c r="CO232" s="11"/>
      <c r="CP232" s="11"/>
      <c r="CQ232" s="54"/>
      <c r="CR232" s="46"/>
      <c r="CS232" s="54"/>
      <c r="CT232" s="48"/>
      <c r="CU232" s="48"/>
      <c r="CV232" s="48"/>
      <c r="CW232" s="49"/>
      <c r="CX232" s="49"/>
    </row>
    <row r="233" spans="1:102" x14ac:dyDescent="0.25">
      <c r="A233" s="88" t="s">
        <v>460</v>
      </c>
      <c r="B233" s="88" t="s">
        <v>461</v>
      </c>
      <c r="C233" s="1" t="s">
        <v>461</v>
      </c>
      <c r="D233" s="2" t="s">
        <v>63</v>
      </c>
      <c r="E233" s="2" t="s">
        <v>63</v>
      </c>
      <c r="F233" s="3" t="s">
        <v>462</v>
      </c>
      <c r="H233" s="1"/>
      <c r="I233" s="88" t="s">
        <v>158</v>
      </c>
      <c r="L233" s="2">
        <v>3055</v>
      </c>
      <c r="N233" s="87">
        <v>9</v>
      </c>
      <c r="O233" s="87">
        <v>6</v>
      </c>
      <c r="P233" s="2">
        <v>8</v>
      </c>
      <c r="Q233" s="2">
        <v>4</v>
      </c>
      <c r="R233" s="2">
        <v>4</v>
      </c>
      <c r="S233" s="2">
        <v>0</v>
      </c>
      <c r="X233" s="90">
        <v>2</v>
      </c>
      <c r="Y233" s="1" t="e">
        <v>#N/A</v>
      </c>
      <c r="Z233" s="1" t="e">
        <v>#N/A</v>
      </c>
      <c r="AA233" s="1" t="e">
        <v>#N/A</v>
      </c>
      <c r="AB233" s="1">
        <v>0</v>
      </c>
      <c r="AC233" s="1">
        <v>0</v>
      </c>
      <c r="AD233" s="1">
        <v>0</v>
      </c>
      <c r="AE233" s="1" t="e">
        <v>#N/A</v>
      </c>
      <c r="AF233" s="1" t="e">
        <v>#N/A</v>
      </c>
      <c r="AG233" s="1" t="e">
        <v>#N/A</v>
      </c>
      <c r="AH233" s="1" t="e">
        <v>#N/A</v>
      </c>
      <c r="AI233" s="1">
        <v>14</v>
      </c>
      <c r="AJ233" s="1" t="e">
        <v>#N/A</v>
      </c>
      <c r="AK233" s="1" t="e">
        <v>#VALUE!</v>
      </c>
      <c r="AL233" s="1" t="e">
        <v>#N/A</v>
      </c>
      <c r="AM233" s="1">
        <v>2</v>
      </c>
      <c r="AN233" s="1" t="e">
        <v>#N/A</v>
      </c>
      <c r="AO233" s="1">
        <v>14</v>
      </c>
      <c r="AP233" s="1">
        <v>0</v>
      </c>
      <c r="AQ233" s="1" t="e">
        <v>#N/A</v>
      </c>
      <c r="AR233" s="1">
        <v>25</v>
      </c>
      <c r="AS233" s="1" t="s">
        <v>65</v>
      </c>
      <c r="AT233" s="1" t="e">
        <v>#N/A</v>
      </c>
      <c r="AU233" s="1" t="e">
        <v>#N/A</v>
      </c>
      <c r="AV233" s="1">
        <v>0</v>
      </c>
      <c r="AW233" s="1">
        <v>0</v>
      </c>
      <c r="AX233" s="1">
        <v>0</v>
      </c>
      <c r="AY233" s="1" t="e">
        <v>#N/A</v>
      </c>
      <c r="AZ233" s="1">
        <v>0</v>
      </c>
      <c r="BA233" s="1" t="e">
        <v>#N/A</v>
      </c>
      <c r="BB233" s="1">
        <v>0</v>
      </c>
      <c r="BC233" s="1">
        <v>-14</v>
      </c>
      <c r="BD233" s="1">
        <v>0</v>
      </c>
      <c r="BE233" s="1" t="s">
        <v>65</v>
      </c>
      <c r="BF233" s="1">
        <v>84</v>
      </c>
      <c r="BG233" s="1">
        <v>84</v>
      </c>
      <c r="BH233" s="1">
        <v>3</v>
      </c>
      <c r="BI233" s="1" t="e">
        <v>#REF!</v>
      </c>
      <c r="BJ233" s="1" t="e">
        <v>#REF!</v>
      </c>
      <c r="BK233" s="1">
        <v>1</v>
      </c>
      <c r="BM233" s="1">
        <v>0</v>
      </c>
      <c r="BO233" s="1">
        <v>2</v>
      </c>
      <c r="CL233" s="82"/>
      <c r="CM233" s="82"/>
      <c r="CN233" s="82"/>
      <c r="CO233" s="82"/>
      <c r="CP233" s="82" t="s">
        <v>442</v>
      </c>
      <c r="CQ233" s="85">
        <v>44307</v>
      </c>
      <c r="CR233" s="83" t="s">
        <v>531</v>
      </c>
      <c r="CS233" s="93">
        <v>44333</v>
      </c>
      <c r="CT233" s="91" t="s">
        <v>532</v>
      </c>
      <c r="CU233" s="48"/>
      <c r="CV233" s="48"/>
      <c r="CW233" s="49"/>
      <c r="CX233" s="49"/>
    </row>
    <row r="234" spans="1:102" x14ac:dyDescent="0.25">
      <c r="A234" s="88" t="s">
        <v>460</v>
      </c>
      <c r="B234" s="88" t="s">
        <v>461</v>
      </c>
      <c r="C234" s="1" t="s">
        <v>461</v>
      </c>
      <c r="D234" s="2" t="s">
        <v>63</v>
      </c>
      <c r="E234" s="2" t="s">
        <v>63</v>
      </c>
      <c r="F234" s="3" t="s">
        <v>462</v>
      </c>
      <c r="H234" s="1"/>
      <c r="I234" s="88" t="s">
        <v>185</v>
      </c>
      <c r="L234" s="2">
        <v>3055</v>
      </c>
      <c r="N234" s="87">
        <v>9</v>
      </c>
      <c r="O234" s="87">
        <v>6</v>
      </c>
      <c r="P234" s="2">
        <v>8</v>
      </c>
      <c r="Q234" s="2">
        <v>4</v>
      </c>
      <c r="R234" s="2">
        <v>4</v>
      </c>
      <c r="S234" s="2">
        <v>0</v>
      </c>
      <c r="X234" s="90">
        <v>2</v>
      </c>
      <c r="Y234" s="1">
        <f>VLOOKUP(X234,[4]ölçme_sistemleri!I:L,2,FALSE)</f>
        <v>0</v>
      </c>
      <c r="Z234" s="1">
        <f>VLOOKUP(X234,[4]ölçme_sistemleri!I:L,3,FALSE)</f>
        <v>2</v>
      </c>
      <c r="AA234" s="1">
        <f>VLOOKUP(X234,[4]ölçme_sistemleri!I:L,4,FALSE)</f>
        <v>1</v>
      </c>
      <c r="AB234" s="1">
        <f>$O234*[4]ölçme_sistemleri!J$13</f>
        <v>6</v>
      </c>
      <c r="AC234" s="1">
        <f>$O234*[4]ölçme_sistemleri!K$13</f>
        <v>12</v>
      </c>
      <c r="AD234" s="1">
        <f>$O234*[4]ölçme_sistemleri!L$13</f>
        <v>18</v>
      </c>
      <c r="AE234" s="1">
        <f t="shared" ref="AE234:AE264" si="161">Y234*AB234</f>
        <v>0</v>
      </c>
      <c r="AF234" s="1">
        <f t="shared" ref="AF234:AF264" si="162">Z234*AC234</f>
        <v>24</v>
      </c>
      <c r="AG234" s="1">
        <f t="shared" ref="AG234:AG264" si="163">AA234*AD234</f>
        <v>18</v>
      </c>
      <c r="AH234" s="1">
        <f t="shared" ref="AH234:AH264" si="164">SUM(AE234:AG234)</f>
        <v>42</v>
      </c>
      <c r="AI234" s="1">
        <v>14</v>
      </c>
      <c r="AJ234" s="1">
        <f>VLOOKUP(X234,[4]ölçme_sistemleri!I:M,5,FALSE)</f>
        <v>2</v>
      </c>
      <c r="AK234" s="1">
        <f t="shared" ref="AK234:AK264" si="165">SUM(AE234,AF234,AG234)*AI234</f>
        <v>588</v>
      </c>
      <c r="AL234" s="1">
        <f>(Q234+S234)*AI234</f>
        <v>56</v>
      </c>
      <c r="AM234" s="1">
        <f>VLOOKUP(X234,[4]ölçme_sistemleri!I:N,6,FALSE)</f>
        <v>3</v>
      </c>
      <c r="AN234" s="1">
        <v>2</v>
      </c>
      <c r="AO234" s="1">
        <f t="shared" ref="AO234:AO264" si="166">AM234*AN234</f>
        <v>6</v>
      </c>
      <c r="AP234" s="1">
        <v>14</v>
      </c>
      <c r="AQ234" s="1">
        <f t="shared" ref="AQ234:AQ265" si="167">AP234*P234</f>
        <v>112</v>
      </c>
      <c r="AR234" s="1">
        <f t="shared" ref="AR234:AR264" si="168">AQ234+AO234+AL234+AE234+AF234+AG234</f>
        <v>216</v>
      </c>
      <c r="AS234" s="1">
        <f t="shared" ref="AS234:AS249" si="169">IF(BE234="s",25,25)</f>
        <v>25</v>
      </c>
      <c r="AT234" s="1">
        <f t="shared" ref="AT234:AT264" si="170">ROUND(AR234/AS234,0)</f>
        <v>9</v>
      </c>
      <c r="AU234" s="1">
        <f t="shared" ref="AU234:AU265" si="171">ROUND(AT234-N234,0)</f>
        <v>0</v>
      </c>
      <c r="AV234" s="1">
        <f t="shared" ref="AV234:AV265" si="172">IF(BE234="s",IF(W234=0,0,
IF(W234=1,N234*4*4,
IF(W234=2,0,
IF(W234=3,N234*4*2,
IF(W234=4,0,
IF(W234=5,0,
IF(W234=6,0,
IF(W234=7,0)))))))),
IF(BE234="t",
IF(W234=0,0,
IF(W234=1,N234*4*4*0.8,
IF(W234=2,0,
IF(W234=3,N234*4*2*0.8,
IF(W234=4,0,
IF(W234=5,0,
IF(W234=6,0,
IF(W234=7,0))))))))))</f>
        <v>0</v>
      </c>
      <c r="AW234" s="1">
        <f t="shared" ref="AW234:AW265" si="173">IF(BE234="s",
IF(W234=0,0,
IF(W234=1,0,
IF(W234=2,N234*4*2,
IF(W234=3,N234*4,
IF(W234=4,N234*4,
IF(W234=5,0,
IF(W234=6,0,
IF(W234=7,N234*4)))))))),
IF(BE234="t",
IF(W234=0,0,
IF(W234=1,0,
IF(W234=2,N234*4*2*0.8,
IF(W234=3,N234*4*0.8,
IF(W234=4,N234*4*0.8,
IF(W234=5,0,
IF(W234=6,0,
IF(W234=7,N234*4))))))))))</f>
        <v>0</v>
      </c>
      <c r="AX234" s="1">
        <f t="shared" ref="AX234:AX265" si="174">IF(BE234="s",
IF(W234=0,0,
IF(W234=1,N234*2,
IF(W234=2,N234*2,
IF(W234=3,N234*2,
IF(W234=4,N234*2,
IF(W234=5,N234*2,
IF(W234=6,N234*2,
IF(W234=7,N234*2)))))))),
IF(BE234="t",
IF(W234=0,O234*2*0.8,
IF(W234=1,N234*2*0.8,
IF(W234=2,N234*2*0.8,
IF(W234=3,N234*2*0.8,
IF(W234=4,N234*2*0.8,
IF(W234=5,N234*2*0.8,
IF(W234=6,N234*1*0.8,
IF(W234=7,N234*2))))))))))</f>
        <v>0</v>
      </c>
      <c r="AY234" s="1">
        <f t="shared" ref="AY234:AY264" si="175">SUM(AV234:AX234)-SUM(AD234:AF234)</f>
        <v>-42</v>
      </c>
      <c r="AZ234" s="1">
        <f t="shared" ref="AZ234:AZ265" si="176">IF(BE234="s",
IF(W234=0,0,
IF(W234=1,(14-2)*(P234+R234)/4*4,
IF(W234=2,(14-2)*(P234+R234)/4*2,
IF(W234=3,(14-2)*(P234+R234)/4*3,
IF(W234=4,(14-2)*(P234+R234)/4,
IF(W234=5,(14-2)*N234/4,
IF(W234=6,0,
IF(W234=7,(14)*R234)))))))),
IF(BE234="t",
IF(W234=0,0,
IF(W234=1,(11-2)*(P234+R234)/4*4,
IF(W234=2,(11-2)*(P234+R234)/4*2,
IF(W234=3,(11-2)*(P234+R234)/4*3,
IF(W234=4,(11-2)*(P234+R234)/4,
IF(W234=5,(11-2)*N234/4,
IF(W234=6,0,
IF(W234=7,(11)*N234))))))))))</f>
        <v>0</v>
      </c>
      <c r="BA234" s="1">
        <f t="shared" ref="BA234:BA264" si="177">AZ234-AL234</f>
        <v>-56</v>
      </c>
      <c r="BB234" s="1">
        <f t="shared" ref="BB234:BB264" si="178">IF(BE234="s",
IF(W234=0,0,
IF(W234=1,4*5,
IF(W234=2,4*3,
IF(W234=3,4*4,
IF(W234=4,4*2,
IF(W234=5,4,
IF(W234=6,4/2,
IF(W234=7,4*2,)))))))),
IF(BE234="t",
IF(W234=0,0,
IF(W234=1,4*5,
IF(W234=2,4*3,
IF(W234=3,4*4,
IF(W234=4,4*2,
IF(W234=5,4,
IF(W234=6,4/2,
IF(W234=7,4*2))))))))))</f>
        <v>0</v>
      </c>
      <c r="BC234" s="1">
        <f t="shared" ref="BC234:BC264" si="179">BB234-AO234</f>
        <v>-6</v>
      </c>
      <c r="BD234" s="1">
        <f t="shared" ref="BD234:BD264" si="180">AV234+AW234+AX234+(IF(BK234=1,(AZ234)*2,AZ234))+BB234</f>
        <v>0</v>
      </c>
      <c r="BE234" s="1" t="s">
        <v>65</v>
      </c>
      <c r="BF234" s="1">
        <v>84</v>
      </c>
      <c r="BG234" s="1">
        <v>84</v>
      </c>
      <c r="BH234" s="1">
        <v>3</v>
      </c>
      <c r="BI234" s="1" t="e">
        <v>#REF!</v>
      </c>
      <c r="BJ234" s="1" t="e">
        <v>#REF!</v>
      </c>
      <c r="BK234" s="1">
        <v>1</v>
      </c>
      <c r="BM234" s="1">
        <v>0</v>
      </c>
      <c r="BO234" s="1">
        <v>2</v>
      </c>
      <c r="CL234" s="82"/>
      <c r="CM234" s="82"/>
      <c r="CN234" s="82"/>
      <c r="CO234" s="82"/>
      <c r="CP234" s="82" t="s">
        <v>442</v>
      </c>
      <c r="CQ234" s="85">
        <v>44307</v>
      </c>
      <c r="CR234" s="83" t="s">
        <v>531</v>
      </c>
      <c r="CS234" s="93">
        <v>44333</v>
      </c>
      <c r="CT234" s="91" t="s">
        <v>532</v>
      </c>
      <c r="CU234" s="48"/>
      <c r="CV234" s="48"/>
      <c r="CW234" s="49"/>
      <c r="CX234" s="49"/>
    </row>
    <row r="235" spans="1:102" x14ac:dyDescent="0.25">
      <c r="A235" s="112" t="s">
        <v>144</v>
      </c>
      <c r="B235" s="112" t="s">
        <v>134</v>
      </c>
      <c r="C235" s="1" t="s">
        <v>134</v>
      </c>
      <c r="D235" s="2" t="s">
        <v>63</v>
      </c>
      <c r="E235" s="2" t="s">
        <v>63</v>
      </c>
      <c r="F235" s="3" t="e">
        <f>IF(BE235="S",
IF(#REF!+BM235=2018,
IF(#REF!=1,"18-19/1",
IF(#REF!=2,"18-19/2",
IF(#REF!=3,"19-20/1",
IF(#REF!=4,"19-20/2",
IF(#REF!=5,"20-21/1",
IF(#REF!=6,"20-21/2",
IF(#REF!=7,"21-22/1",
IF(#REF!=8,"21-22/2","Hata1")))))))),
IF(#REF!+BM235=2019,
IF(#REF!=1,"19-20/1",
IF(#REF!=2,"19-20/2",
IF(#REF!=3,"20-21/1",
IF(#REF!=4,"20-21/2",
IF(#REF!=5,"21-22/1",
IF(#REF!=6,"21-22/2",
IF(#REF!=7,"22-23/1",
IF(#REF!=8,"22-23/2","Hata2")))))))),
IF(#REF!+BM235=2020,
IF(#REF!=1,"20-21/1",
IF(#REF!=2,"20-21/2",
IF(#REF!=3,"21-22/1",
IF(#REF!=4,"21-22/2",
IF(#REF!=5,"22-23/1",
IF(#REF!=6,"22-23/2",
IF(#REF!=7,"23-24/1",
IF(#REF!=8,"23-24/2","Hata3")))))))),
IF(#REF!+BM235=2021,
IF(#REF!=1,"21-22/1",
IF(#REF!=2,"21-22/2",
IF(#REF!=3,"22-23/1",
IF(#REF!=4,"22-23/2",
IF(#REF!=5,"23-24/1",
IF(#REF!=6,"23-24/2",
IF(#REF!=7,"24-25/1",
IF(#REF!=8,"24-25/2","Hata4")))))))),
IF(#REF!+BM235=2022,
IF(#REF!=1,"22-23/1",
IF(#REF!=2,"22-23/2",
IF(#REF!=3,"23-24/1",
IF(#REF!=4,"23-24/2",
IF(#REF!=5,"24-25/1",
IF(#REF!=6,"24-25/2",
IF(#REF!=7,"25-26/1",
IF(#REF!=8,"25-26/2","Hata5")))))))),
IF(#REF!+BM235=2023,
IF(#REF!=1,"23-24/1",
IF(#REF!=2,"23-24/2",
IF(#REF!=3,"24-25/1",
IF(#REF!=4,"24-25/2",
IF(#REF!=5,"25-26/1",
IF(#REF!=6,"25-26/2",
IF(#REF!=7,"26-27/1",
IF(#REF!=8,"26-27/2","Hata6")))))))),
)))))),
IF(BE235="T",
IF(#REF!+BM235=2018,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5" s="112" t="s">
        <v>145</v>
      </c>
      <c r="J235" s="1">
        <v>4234778</v>
      </c>
      <c r="L235" s="2">
        <v>3481</v>
      </c>
      <c r="N235" s="113">
        <v>7</v>
      </c>
      <c r="O235" s="89">
        <f t="shared" ref="O235:O264" si="181">(S235)+(R235/2)+(Q235)</f>
        <v>6</v>
      </c>
      <c r="P235" s="2">
        <f t="shared" ref="P235:P264" si="182">Q235+R235+S235</f>
        <v>6</v>
      </c>
      <c r="Q235" s="2">
        <v>4</v>
      </c>
      <c r="R235" s="2">
        <v>0</v>
      </c>
      <c r="S235" s="2">
        <v>2</v>
      </c>
      <c r="X235" s="90">
        <v>2</v>
      </c>
      <c r="Y235" s="1">
        <f>VLOOKUP($X235,[26]ölçme_sistemleri!I:L,2,FALSE)</f>
        <v>0</v>
      </c>
      <c r="Z235" s="1">
        <f>VLOOKUP($X235,[26]ölçme_sistemleri!I:L,3,FALSE)</f>
        <v>2</v>
      </c>
      <c r="AA235" s="1">
        <f>VLOOKUP($X235,[26]ölçme_sistemleri!I:L,4,FALSE)</f>
        <v>1</v>
      </c>
      <c r="AB235" s="1">
        <f>$O235*[26]ölçme_sistemleri!J$13</f>
        <v>6</v>
      </c>
      <c r="AC235" s="1">
        <f>$O235*[26]ölçme_sistemleri!K$13</f>
        <v>12</v>
      </c>
      <c r="AD235" s="1">
        <f>$O235*[26]ölçme_sistemleri!L$13</f>
        <v>18</v>
      </c>
      <c r="AE235" s="1">
        <f t="shared" si="161"/>
        <v>0</v>
      </c>
      <c r="AF235" s="1">
        <f t="shared" si="162"/>
        <v>24</v>
      </c>
      <c r="AG235" s="1">
        <f t="shared" si="163"/>
        <v>18</v>
      </c>
      <c r="AH235" s="1">
        <f t="shared" si="164"/>
        <v>42</v>
      </c>
      <c r="AI235" s="1">
        <v>14</v>
      </c>
      <c r="AJ235" s="1">
        <f>VLOOKUP(X235,[26]ölçme_sistemleri!I:M,5,FALSE)</f>
        <v>2</v>
      </c>
      <c r="AK235" s="1">
        <f t="shared" si="165"/>
        <v>588</v>
      </c>
      <c r="AL235" s="1">
        <f>AI235*3</f>
        <v>42</v>
      </c>
      <c r="AM235" s="1">
        <f>VLOOKUP(X235,[26]ölçme_sistemleri!I:N,6,FALSE)</f>
        <v>3</v>
      </c>
      <c r="AN235" s="1">
        <v>2</v>
      </c>
      <c r="AO235" s="1">
        <f t="shared" si="166"/>
        <v>6</v>
      </c>
      <c r="AP235" s="1">
        <v>14</v>
      </c>
      <c r="AQ235" s="1">
        <f t="shared" si="167"/>
        <v>84</v>
      </c>
      <c r="AR235" s="1">
        <f t="shared" si="168"/>
        <v>174</v>
      </c>
      <c r="AS235" s="1">
        <f t="shared" si="169"/>
        <v>25</v>
      </c>
      <c r="AT235" s="1">
        <f t="shared" si="170"/>
        <v>7</v>
      </c>
      <c r="AU235" s="1">
        <f t="shared" si="171"/>
        <v>0</v>
      </c>
      <c r="AV235" s="1">
        <f t="shared" si="172"/>
        <v>0</v>
      </c>
      <c r="AW235" s="1">
        <f t="shared" si="173"/>
        <v>0</v>
      </c>
      <c r="AX235" s="1">
        <f t="shared" si="174"/>
        <v>0</v>
      </c>
      <c r="AY235" s="1">
        <f t="shared" si="175"/>
        <v>-42</v>
      </c>
      <c r="AZ235" s="1">
        <f t="shared" si="176"/>
        <v>0</v>
      </c>
      <c r="BA235" s="1">
        <f t="shared" si="177"/>
        <v>-42</v>
      </c>
      <c r="BB235" s="1">
        <f t="shared" si="178"/>
        <v>0</v>
      </c>
      <c r="BC235" s="1">
        <f t="shared" si="179"/>
        <v>-6</v>
      </c>
      <c r="BD235" s="1">
        <f t="shared" si="180"/>
        <v>0</v>
      </c>
      <c r="BE235" s="1" t="s">
        <v>65</v>
      </c>
      <c r="BF235" s="1">
        <f t="shared" ref="BF235:BF266" si="183">IF(BL235="A",0,IF(BE235="s",14*O235,IF(BE235="T",11*O235,"HATA")))</f>
        <v>84</v>
      </c>
      <c r="BG235" s="1">
        <f t="shared" ref="BG235:BG264" si="184">IF(BL235="Z",(BF235+BD235)*1.15,(BF235+BD235))</f>
        <v>84</v>
      </c>
      <c r="BH235" s="1">
        <f t="shared" ref="BH235:BH264" si="185">IF(BE235="s",ROUND(BG235/30,0),IF(BE235="T",ROUND(BG235/25,0),"HATA"))</f>
        <v>3</v>
      </c>
      <c r="BI235" s="1" t="e">
        <f>IF(BH235-#REF!=0,"DOĞRU","YANLIŞ")</f>
        <v>#REF!</v>
      </c>
      <c r="BJ235" s="1" t="e">
        <f>#REF!-BH235</f>
        <v>#REF!</v>
      </c>
      <c r="BK235" s="1">
        <v>1</v>
      </c>
      <c r="BM235" s="1">
        <v>0</v>
      </c>
      <c r="BO235" s="1">
        <v>6</v>
      </c>
      <c r="BT235" s="8">
        <f t="shared" ref="BT235:BT266" si="186">R235*14</f>
        <v>0</v>
      </c>
      <c r="BU235" s="9"/>
      <c r="BV235" s="10"/>
      <c r="BW235" s="11"/>
      <c r="BX235" s="11"/>
      <c r="BY235" s="11"/>
      <c r="BZ235" s="11"/>
      <c r="CA235" s="11"/>
      <c r="CB235" s="12"/>
      <c r="CC235" s="13"/>
      <c r="CD235" s="14"/>
      <c r="CL235" s="114"/>
      <c r="CM235" s="114"/>
      <c r="CN235" s="114"/>
      <c r="CO235" s="114"/>
      <c r="CP235" s="114" t="s">
        <v>442</v>
      </c>
      <c r="CQ235" s="111">
        <v>44324</v>
      </c>
      <c r="CR235" s="114" t="s">
        <v>529</v>
      </c>
      <c r="CS235" s="93">
        <v>44337</v>
      </c>
      <c r="CT235" s="86" t="s">
        <v>501</v>
      </c>
      <c r="CU235" s="48"/>
      <c r="CV235" s="48"/>
      <c r="CW235" s="49"/>
      <c r="CX235" s="49"/>
    </row>
    <row r="236" spans="1:102" x14ac:dyDescent="0.25">
      <c r="A236" s="88" t="s">
        <v>251</v>
      </c>
      <c r="B236" s="88" t="s">
        <v>143</v>
      </c>
      <c r="C236" s="1" t="s">
        <v>143</v>
      </c>
      <c r="D236" s="2" t="s">
        <v>63</v>
      </c>
      <c r="E236" s="2" t="s">
        <v>63</v>
      </c>
      <c r="F236" s="3" t="e">
        <f>IF(BE236="S",
IF(#REF!+BM236=2018,
IF(#REF!=1,"18-19/1",
IF(#REF!=2,"18-19/2",
IF(#REF!=3,"19-20/1",
IF(#REF!=4,"19-20/2",
IF(#REF!=5,"20-21/1",
IF(#REF!=6,"20-21/2",
IF(#REF!=7,"21-22/1",
IF(#REF!=8,"21-22/2","Hata1")))))))),
IF(#REF!+BM236=2019,
IF(#REF!=1,"19-20/1",
IF(#REF!=2,"19-20/2",
IF(#REF!=3,"20-21/1",
IF(#REF!=4,"20-21/2",
IF(#REF!=5,"21-22/1",
IF(#REF!=6,"21-22/2",
IF(#REF!=7,"22-23/1",
IF(#REF!=8,"22-23/2","Hata2")))))))),
IF(#REF!+BM236=2020,
IF(#REF!=1,"20-21/1",
IF(#REF!=2,"20-21/2",
IF(#REF!=3,"21-22/1",
IF(#REF!=4,"21-22/2",
IF(#REF!=5,"22-23/1",
IF(#REF!=6,"22-23/2",
IF(#REF!=7,"23-24/1",
IF(#REF!=8,"23-24/2","Hata3")))))))),
IF(#REF!+BM236=2021,
IF(#REF!=1,"21-22/1",
IF(#REF!=2,"21-22/2",
IF(#REF!=3,"22-23/1",
IF(#REF!=4,"22-23/2",
IF(#REF!=5,"23-24/1",
IF(#REF!=6,"23-24/2",
IF(#REF!=7,"24-25/1",
IF(#REF!=8,"24-25/2","Hata4")))))))),
IF(#REF!+BM236=2022,
IF(#REF!=1,"22-23/1",
IF(#REF!=2,"22-23/2",
IF(#REF!=3,"23-24/1",
IF(#REF!=4,"23-24/2",
IF(#REF!=5,"24-25/1",
IF(#REF!=6,"24-25/2",
IF(#REF!=7,"25-26/1",
IF(#REF!=8,"25-26/2","Hata5")))))))),
IF(#REF!+BM236=2023,
IF(#REF!=1,"23-24/1",
IF(#REF!=2,"23-24/2",
IF(#REF!=3,"24-25/1",
IF(#REF!=4,"24-25/2",
IF(#REF!=5,"25-26/1",
IF(#REF!=6,"25-26/2",
IF(#REF!=7,"26-27/1",
IF(#REF!=8,"26-27/2","Hata6")))))))),
)))))),
IF(BE236="T",
IF(#REF!+BM236=2018,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6" s="88" t="s">
        <v>145</v>
      </c>
      <c r="J236" s="1">
        <v>4234778</v>
      </c>
      <c r="L236" s="2">
        <v>3500</v>
      </c>
      <c r="N236" s="87">
        <v>7</v>
      </c>
      <c r="O236" s="89">
        <f t="shared" si="181"/>
        <v>6</v>
      </c>
      <c r="P236" s="2">
        <f t="shared" si="182"/>
        <v>6</v>
      </c>
      <c r="Q236" s="2">
        <v>4</v>
      </c>
      <c r="R236" s="2">
        <v>0</v>
      </c>
      <c r="S236" s="2">
        <v>2</v>
      </c>
      <c r="X236" s="90">
        <v>2</v>
      </c>
      <c r="Y236" s="1">
        <f>VLOOKUP($X236,[30]ölçme_sistemleri!I:L,2,FALSE)</f>
        <v>0</v>
      </c>
      <c r="Z236" s="1">
        <f>VLOOKUP($X236,[30]ölçme_sistemleri!I:L,3,FALSE)</f>
        <v>2</v>
      </c>
      <c r="AA236" s="1">
        <f>VLOOKUP($X236,[30]ölçme_sistemleri!I:L,4,FALSE)</f>
        <v>1</v>
      </c>
      <c r="AB236" s="1">
        <f>$O236*[30]ölçme_sistemleri!J$13</f>
        <v>6</v>
      </c>
      <c r="AC236" s="1">
        <f>$O236*[30]ölçme_sistemleri!K$13</f>
        <v>12</v>
      </c>
      <c r="AD236" s="1">
        <f>$O236*[30]ölçme_sistemleri!L$13</f>
        <v>18</v>
      </c>
      <c r="AE236" s="1">
        <f t="shared" si="161"/>
        <v>0</v>
      </c>
      <c r="AF236" s="1">
        <f t="shared" si="162"/>
        <v>24</v>
      </c>
      <c r="AG236" s="1">
        <f t="shared" si="163"/>
        <v>18</v>
      </c>
      <c r="AH236" s="1">
        <f t="shared" si="164"/>
        <v>42</v>
      </c>
      <c r="AI236" s="1">
        <v>14</v>
      </c>
      <c r="AJ236" s="1">
        <f>VLOOKUP(X236,[30]ölçme_sistemleri!I:M,5,FALSE)</f>
        <v>2</v>
      </c>
      <c r="AK236" s="1">
        <f t="shared" si="165"/>
        <v>588</v>
      </c>
      <c r="AL236" s="1">
        <f>AI236*3</f>
        <v>42</v>
      </c>
      <c r="AM236" s="1">
        <f>VLOOKUP(X236,[30]ölçme_sistemleri!I:N,6,FALSE)</f>
        <v>3</v>
      </c>
      <c r="AN236" s="1">
        <v>2</v>
      </c>
      <c r="AO236" s="1">
        <f t="shared" si="166"/>
        <v>6</v>
      </c>
      <c r="AP236" s="1">
        <v>14</v>
      </c>
      <c r="AQ236" s="1">
        <f t="shared" si="167"/>
        <v>84</v>
      </c>
      <c r="AR236" s="1">
        <f t="shared" si="168"/>
        <v>174</v>
      </c>
      <c r="AS236" s="1">
        <f t="shared" si="169"/>
        <v>25</v>
      </c>
      <c r="AT236" s="1">
        <f t="shared" si="170"/>
        <v>7</v>
      </c>
      <c r="AU236" s="1">
        <f t="shared" si="171"/>
        <v>0</v>
      </c>
      <c r="AV236" s="1">
        <f t="shared" si="172"/>
        <v>0</v>
      </c>
      <c r="AW236" s="1">
        <f t="shared" si="173"/>
        <v>0</v>
      </c>
      <c r="AX236" s="1">
        <f t="shared" si="174"/>
        <v>0</v>
      </c>
      <c r="AY236" s="1">
        <f t="shared" si="175"/>
        <v>-42</v>
      </c>
      <c r="AZ236" s="1">
        <f t="shared" si="176"/>
        <v>0</v>
      </c>
      <c r="BA236" s="1">
        <f t="shared" si="177"/>
        <v>-42</v>
      </c>
      <c r="BB236" s="1">
        <f t="shared" si="178"/>
        <v>0</v>
      </c>
      <c r="BC236" s="1">
        <f t="shared" si="179"/>
        <v>-6</v>
      </c>
      <c r="BD236" s="1">
        <f t="shared" si="180"/>
        <v>0</v>
      </c>
      <c r="BE236" s="1" t="s">
        <v>65</v>
      </c>
      <c r="BF236" s="1">
        <f t="shared" si="183"/>
        <v>84</v>
      </c>
      <c r="BG236" s="1">
        <f t="shared" si="184"/>
        <v>84</v>
      </c>
      <c r="BH236" s="1">
        <f t="shared" si="185"/>
        <v>3</v>
      </c>
      <c r="BI236" s="1" t="e">
        <f>IF(BH236-#REF!=0,"DOĞRU","YANLIŞ")</f>
        <v>#REF!</v>
      </c>
      <c r="BJ236" s="1" t="e">
        <f>#REF!-BH236</f>
        <v>#REF!</v>
      </c>
      <c r="BK236" s="1">
        <v>1</v>
      </c>
      <c r="BM236" s="1">
        <v>0</v>
      </c>
      <c r="BO236" s="1">
        <v>4</v>
      </c>
      <c r="BT236" s="8">
        <f t="shared" si="186"/>
        <v>0</v>
      </c>
      <c r="BU236" s="9"/>
      <c r="BV236" s="10"/>
      <c r="BW236" s="11"/>
      <c r="BX236" s="11"/>
      <c r="BY236" s="11"/>
      <c r="BZ236" s="11"/>
      <c r="CA236" s="11"/>
      <c r="CB236" s="12"/>
      <c r="CC236" s="13"/>
      <c r="CD236" s="14"/>
      <c r="CL236" s="82"/>
      <c r="CM236" s="82"/>
      <c r="CN236" s="82"/>
      <c r="CO236" s="82"/>
      <c r="CP236" s="82" t="s">
        <v>442</v>
      </c>
      <c r="CQ236" s="85">
        <v>44324</v>
      </c>
      <c r="CR236" s="83" t="s">
        <v>529</v>
      </c>
      <c r="CS236" s="85">
        <v>44345</v>
      </c>
      <c r="CT236" s="91" t="s">
        <v>529</v>
      </c>
      <c r="CU236" s="48"/>
      <c r="CV236" s="48"/>
      <c r="CW236" s="49"/>
      <c r="CX236" s="49"/>
    </row>
    <row r="237" spans="1:102" hidden="1" x14ac:dyDescent="0.25">
      <c r="A237" s="1" t="s">
        <v>264</v>
      </c>
      <c r="B237" s="1" t="s">
        <v>265</v>
      </c>
      <c r="C237" s="1" t="s">
        <v>265</v>
      </c>
      <c r="D237" s="2" t="s">
        <v>63</v>
      </c>
      <c r="E237" s="2" t="s">
        <v>63</v>
      </c>
      <c r="F237" s="3" t="e">
        <f>IF(BE237="S",
IF(#REF!+BM237=2018,
IF(#REF!=1,"18-19/1",
IF(#REF!=2,"18-19/2",
IF(#REF!=3,"19-20/1",
IF(#REF!=4,"19-20/2",
IF(#REF!=5,"20-21/1",
IF(#REF!=6,"20-21/2",
IF(#REF!=7,"21-22/1",
IF(#REF!=8,"21-22/2","Hata1")))))))),
IF(#REF!+BM237=2019,
IF(#REF!=1,"19-20/1",
IF(#REF!=2,"19-20/2",
IF(#REF!=3,"20-21/1",
IF(#REF!=4,"20-21/2",
IF(#REF!=5,"21-22/1",
IF(#REF!=6,"21-22/2",
IF(#REF!=7,"22-23/1",
IF(#REF!=8,"22-23/2","Hata2")))))))),
IF(#REF!+BM237=2020,
IF(#REF!=1,"20-21/1",
IF(#REF!=2,"20-21/2",
IF(#REF!=3,"21-22/1",
IF(#REF!=4,"21-22/2",
IF(#REF!=5,"22-23/1",
IF(#REF!=6,"22-23/2",
IF(#REF!=7,"23-24/1",
IF(#REF!=8,"23-24/2","Hata3")))))))),
IF(#REF!+BM237=2021,
IF(#REF!=1,"21-22/1",
IF(#REF!=2,"21-22/2",
IF(#REF!=3,"22-23/1",
IF(#REF!=4,"22-23/2",
IF(#REF!=5,"23-24/1",
IF(#REF!=6,"23-24/2",
IF(#REF!=7,"24-25/1",
IF(#REF!=8,"24-25/2","Hata4")))))))),
IF(#REF!+BM237=2022,
IF(#REF!=1,"22-23/1",
IF(#REF!=2,"22-23/2",
IF(#REF!=3,"23-24/1",
IF(#REF!=4,"23-24/2",
IF(#REF!=5,"24-25/1",
IF(#REF!=6,"24-25/2",
IF(#REF!=7,"25-26/1",
IF(#REF!=8,"25-26/2","Hata5")))))))),
IF(#REF!+BM237=2023,
IF(#REF!=1,"23-24/1",
IF(#REF!=2,"23-24/2",
IF(#REF!=3,"24-25/1",
IF(#REF!=4,"24-25/2",
IF(#REF!=5,"25-26/1",
IF(#REF!=6,"25-26/2",
IF(#REF!=7,"26-27/1",
IF(#REF!=8,"26-27/2","Hata6")))))))),
)))))),
IF(BE237="T",
IF(#REF!+BM237=2018,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7" s="1" t="s">
        <v>145</v>
      </c>
      <c r="J237" s="1">
        <v>4234778</v>
      </c>
      <c r="L237" s="2">
        <v>1456</v>
      </c>
      <c r="N237" s="2">
        <v>7</v>
      </c>
      <c r="O237" s="6">
        <f t="shared" si="181"/>
        <v>3</v>
      </c>
      <c r="P237" s="2">
        <f t="shared" si="182"/>
        <v>3</v>
      </c>
      <c r="Q237" s="2">
        <v>0</v>
      </c>
      <c r="R237" s="2">
        <v>0</v>
      </c>
      <c r="S237" s="2">
        <v>3</v>
      </c>
      <c r="X237" s="3">
        <v>3</v>
      </c>
      <c r="Y237" s="1">
        <f>VLOOKUP($X237,[27]ölçme_sistemleri!I:L,2,FALSE)</f>
        <v>2</v>
      </c>
      <c r="Z237" s="1">
        <f>VLOOKUP($X237,[27]ölçme_sistemleri!I:L,3,FALSE)</f>
        <v>1</v>
      </c>
      <c r="AA237" s="1">
        <f>VLOOKUP($X237,[27]ölçme_sistemleri!I:L,4,FALSE)</f>
        <v>1</v>
      </c>
      <c r="AB237" s="1">
        <f>$O237*[27]ölçme_sistemleri!J$13</f>
        <v>3</v>
      </c>
      <c r="AC237" s="1">
        <f>$O237*[27]ölçme_sistemleri!K$13</f>
        <v>6</v>
      </c>
      <c r="AD237" s="1">
        <f>$O237*[27]ölçme_sistemleri!L$13</f>
        <v>9</v>
      </c>
      <c r="AE237" s="1">
        <f t="shared" si="161"/>
        <v>6</v>
      </c>
      <c r="AF237" s="1">
        <f t="shared" si="162"/>
        <v>6</v>
      </c>
      <c r="AG237" s="1">
        <f t="shared" si="163"/>
        <v>9</v>
      </c>
      <c r="AH237" s="1">
        <f t="shared" si="164"/>
        <v>21</v>
      </c>
      <c r="AI237" s="1">
        <v>14</v>
      </c>
      <c r="AJ237" s="1">
        <f>VLOOKUP(X237,[27]ölçme_sistemleri!I:M,5,FALSE)</f>
        <v>3</v>
      </c>
      <c r="AK237" s="1">
        <f t="shared" si="165"/>
        <v>294</v>
      </c>
      <c r="AL237" s="1">
        <f>AI237*7</f>
        <v>98</v>
      </c>
      <c r="AM237" s="1">
        <f>VLOOKUP(X237,[27]ölçme_sistemleri!I:N,6,FALSE)</f>
        <v>4</v>
      </c>
      <c r="AN237" s="1">
        <v>2</v>
      </c>
      <c r="AO237" s="1">
        <f t="shared" si="166"/>
        <v>8</v>
      </c>
      <c r="AP237" s="1">
        <v>14</v>
      </c>
      <c r="AQ237" s="1">
        <f t="shared" si="167"/>
        <v>42</v>
      </c>
      <c r="AR237" s="1">
        <f t="shared" si="168"/>
        <v>169</v>
      </c>
      <c r="AS237" s="1">
        <f t="shared" si="169"/>
        <v>25</v>
      </c>
      <c r="AT237" s="1">
        <f t="shared" si="170"/>
        <v>7</v>
      </c>
      <c r="AU237" s="1">
        <f t="shared" si="171"/>
        <v>0</v>
      </c>
      <c r="AV237" s="1">
        <f t="shared" si="172"/>
        <v>0</v>
      </c>
      <c r="AW237" s="1">
        <f t="shared" si="173"/>
        <v>0</v>
      </c>
      <c r="AX237" s="1">
        <f t="shared" si="174"/>
        <v>0</v>
      </c>
      <c r="AY237" s="1">
        <f t="shared" si="175"/>
        <v>-21</v>
      </c>
      <c r="AZ237" s="1">
        <f t="shared" si="176"/>
        <v>0</v>
      </c>
      <c r="BA237" s="1">
        <f t="shared" si="177"/>
        <v>-98</v>
      </c>
      <c r="BB237" s="1">
        <f t="shared" si="178"/>
        <v>0</v>
      </c>
      <c r="BC237" s="1">
        <f t="shared" si="179"/>
        <v>-8</v>
      </c>
      <c r="BD237" s="1">
        <f t="shared" si="180"/>
        <v>0</v>
      </c>
      <c r="BE237" s="1" t="s">
        <v>65</v>
      </c>
      <c r="BF237" s="1">
        <f t="shared" si="183"/>
        <v>42</v>
      </c>
      <c r="BG237" s="1">
        <f t="shared" si="184"/>
        <v>42</v>
      </c>
      <c r="BH237" s="1">
        <f t="shared" si="185"/>
        <v>1</v>
      </c>
      <c r="BI237" s="1" t="e">
        <f>IF(BH237-#REF!=0,"DOĞRU","YANLIŞ")</f>
        <v>#REF!</v>
      </c>
      <c r="BJ237" s="1" t="e">
        <f>#REF!-BH237</f>
        <v>#REF!</v>
      </c>
      <c r="BK237" s="1">
        <v>0</v>
      </c>
      <c r="BM237" s="1">
        <v>0</v>
      </c>
      <c r="BO237" s="1">
        <v>4</v>
      </c>
      <c r="BT237" s="8">
        <f t="shared" si="186"/>
        <v>0</v>
      </c>
      <c r="BU237" s="9"/>
      <c r="BV237" s="10"/>
      <c r="BW237" s="11"/>
      <c r="BX237" s="11"/>
      <c r="BY237" s="11"/>
      <c r="BZ237" s="11"/>
      <c r="CA237" s="11"/>
      <c r="CB237" s="12"/>
      <c r="CC237" s="13"/>
      <c r="CD237" s="14"/>
      <c r="CL237" s="11"/>
      <c r="CM237" s="11"/>
      <c r="CN237" s="11"/>
      <c r="CO237" s="11"/>
      <c r="CP237" s="11"/>
      <c r="CQ237" s="46"/>
      <c r="CR237" s="46"/>
      <c r="CS237" s="48"/>
      <c r="CT237" s="48"/>
      <c r="CU237" s="48"/>
      <c r="CV237" s="48"/>
      <c r="CW237" s="49"/>
      <c r="CX237" s="49"/>
    </row>
    <row r="238" spans="1:102" hidden="1" x14ac:dyDescent="0.25">
      <c r="A238" s="1" t="s">
        <v>125</v>
      </c>
      <c r="B238" s="1" t="s">
        <v>126</v>
      </c>
      <c r="C238" s="1" t="s">
        <v>126</v>
      </c>
      <c r="D238" s="2" t="s">
        <v>63</v>
      </c>
      <c r="E238" s="2" t="s">
        <v>63</v>
      </c>
      <c r="F238" s="3" t="e">
        <f>IF(BE238="S",
IF(#REF!+BM238=2018,
IF(#REF!=1,"18-19/1",
IF(#REF!=2,"18-19/2",
IF(#REF!=3,"19-20/1",
IF(#REF!=4,"19-20/2",
IF(#REF!=5,"20-21/1",
IF(#REF!=6,"20-21/2",
IF(#REF!=7,"21-22/1",
IF(#REF!=8,"21-22/2","Hata1")))))))),
IF(#REF!+BM238=2019,
IF(#REF!=1,"19-20/1",
IF(#REF!=2,"19-20/2",
IF(#REF!=3,"20-21/1",
IF(#REF!=4,"20-21/2",
IF(#REF!=5,"21-22/1",
IF(#REF!=6,"21-22/2",
IF(#REF!=7,"22-23/1",
IF(#REF!=8,"22-23/2","Hata2")))))))),
IF(#REF!+BM238=2020,
IF(#REF!=1,"20-21/1",
IF(#REF!=2,"20-21/2",
IF(#REF!=3,"21-22/1",
IF(#REF!=4,"21-22/2",
IF(#REF!=5,"22-23/1",
IF(#REF!=6,"22-23/2",
IF(#REF!=7,"23-24/1",
IF(#REF!=8,"23-24/2","Hata3")))))))),
IF(#REF!+BM238=2021,
IF(#REF!=1,"21-22/1",
IF(#REF!=2,"21-22/2",
IF(#REF!=3,"22-23/1",
IF(#REF!=4,"22-23/2",
IF(#REF!=5,"23-24/1",
IF(#REF!=6,"23-24/2",
IF(#REF!=7,"24-25/1",
IF(#REF!=8,"24-25/2","Hata4")))))))),
IF(#REF!+BM238=2022,
IF(#REF!=1,"22-23/1",
IF(#REF!=2,"22-23/2",
IF(#REF!=3,"23-24/1",
IF(#REF!=4,"23-24/2",
IF(#REF!=5,"24-25/1",
IF(#REF!=6,"24-25/2",
IF(#REF!=7,"25-26/1",
IF(#REF!=8,"25-26/2","Hata5")))))))),
IF(#REF!+BM238=2023,
IF(#REF!=1,"23-24/1",
IF(#REF!=2,"23-24/2",
IF(#REF!=3,"24-25/1",
IF(#REF!=4,"24-25/2",
IF(#REF!=5,"25-26/1",
IF(#REF!=6,"25-26/2",
IF(#REF!=7,"26-27/1",
IF(#REF!=8,"26-27/2","Hata6")))))))),
)))))),
IF(BE238="T",
IF(#REF!+BM238=2018,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8" s="1" t="s">
        <v>145</v>
      </c>
      <c r="J238" s="1">
        <v>4234778</v>
      </c>
      <c r="L238" s="2">
        <v>1681</v>
      </c>
      <c r="N238" s="2">
        <v>4</v>
      </c>
      <c r="O238" s="6">
        <f t="shared" si="181"/>
        <v>3</v>
      </c>
      <c r="P238" s="2">
        <f t="shared" si="182"/>
        <v>3</v>
      </c>
      <c r="Q238" s="2">
        <v>3</v>
      </c>
      <c r="R238" s="2">
        <v>0</v>
      </c>
      <c r="S238" s="2">
        <v>0</v>
      </c>
      <c r="X238" s="3">
        <v>2</v>
      </c>
      <c r="Y238" s="1">
        <f>VLOOKUP($X238,[26]ölçme_sistemleri!I:L,2,FALSE)</f>
        <v>0</v>
      </c>
      <c r="Z238" s="1">
        <f>VLOOKUP($X238,[26]ölçme_sistemleri!I:L,3,FALSE)</f>
        <v>2</v>
      </c>
      <c r="AA238" s="1">
        <f>VLOOKUP($X238,[26]ölçme_sistemleri!I:L,4,FALSE)</f>
        <v>1</v>
      </c>
      <c r="AB238" s="1">
        <f>$O238*[26]ölçme_sistemleri!J$13</f>
        <v>3</v>
      </c>
      <c r="AC238" s="1">
        <f>$O238*[26]ölçme_sistemleri!K$13</f>
        <v>6</v>
      </c>
      <c r="AD238" s="1">
        <f>$O238*[26]ölçme_sistemleri!L$13</f>
        <v>9</v>
      </c>
      <c r="AE238" s="1">
        <f t="shared" si="161"/>
        <v>0</v>
      </c>
      <c r="AF238" s="1">
        <f t="shared" si="162"/>
        <v>12</v>
      </c>
      <c r="AG238" s="1">
        <f t="shared" si="163"/>
        <v>9</v>
      </c>
      <c r="AH238" s="1">
        <f t="shared" si="164"/>
        <v>21</v>
      </c>
      <c r="AI238" s="1">
        <v>14</v>
      </c>
      <c r="AJ238" s="1">
        <f>VLOOKUP(X238,[26]ölçme_sistemleri!I:M,5,FALSE)</f>
        <v>2</v>
      </c>
      <c r="AK238" s="1">
        <f t="shared" si="165"/>
        <v>294</v>
      </c>
      <c r="AL238" s="1">
        <f>(Q238+S238)*AI238</f>
        <v>42</v>
      </c>
      <c r="AM238" s="1">
        <f>VLOOKUP(X238,[26]ölçme_sistemleri!I:N,6,FALSE)</f>
        <v>3</v>
      </c>
      <c r="AN238" s="1">
        <v>2</v>
      </c>
      <c r="AO238" s="1">
        <f t="shared" si="166"/>
        <v>6</v>
      </c>
      <c r="AP238" s="1">
        <v>14</v>
      </c>
      <c r="AQ238" s="1">
        <f t="shared" si="167"/>
        <v>42</v>
      </c>
      <c r="AR238" s="1">
        <f t="shared" si="168"/>
        <v>111</v>
      </c>
      <c r="AS238" s="1">
        <f t="shared" si="169"/>
        <v>25</v>
      </c>
      <c r="AT238" s="1">
        <f t="shared" si="170"/>
        <v>4</v>
      </c>
      <c r="AU238" s="1">
        <f t="shared" si="171"/>
        <v>0</v>
      </c>
      <c r="AV238" s="1">
        <f t="shared" si="172"/>
        <v>0</v>
      </c>
      <c r="AW238" s="1">
        <f t="shared" si="173"/>
        <v>0</v>
      </c>
      <c r="AX238" s="1">
        <f t="shared" si="174"/>
        <v>0</v>
      </c>
      <c r="AY238" s="1">
        <f t="shared" si="175"/>
        <v>-21</v>
      </c>
      <c r="AZ238" s="1">
        <f t="shared" si="176"/>
        <v>0</v>
      </c>
      <c r="BA238" s="1">
        <f t="shared" si="177"/>
        <v>-42</v>
      </c>
      <c r="BB238" s="1">
        <f t="shared" si="178"/>
        <v>0</v>
      </c>
      <c r="BC238" s="1">
        <f t="shared" si="179"/>
        <v>-6</v>
      </c>
      <c r="BD238" s="1">
        <f t="shared" si="180"/>
        <v>0</v>
      </c>
      <c r="BE238" s="1" t="s">
        <v>65</v>
      </c>
      <c r="BF238" s="1">
        <f t="shared" si="183"/>
        <v>42</v>
      </c>
      <c r="BG238" s="1">
        <f t="shared" si="184"/>
        <v>42</v>
      </c>
      <c r="BH238" s="1">
        <f t="shared" si="185"/>
        <v>1</v>
      </c>
      <c r="BI238" s="1" t="e">
        <f>IF(BH238-#REF!=0,"DOĞRU","YANLIŞ")</f>
        <v>#REF!</v>
      </c>
      <c r="BJ238" s="1" t="e">
        <f>#REF!-BH238</f>
        <v>#REF!</v>
      </c>
      <c r="BK238" s="1">
        <v>0</v>
      </c>
      <c r="BM238" s="1">
        <v>0</v>
      </c>
      <c r="BO238" s="1">
        <v>6</v>
      </c>
      <c r="BT238" s="8">
        <f t="shared" si="186"/>
        <v>0</v>
      </c>
      <c r="BU238" s="9"/>
      <c r="BV238" s="10"/>
      <c r="BW238" s="11"/>
      <c r="BX238" s="11"/>
      <c r="BY238" s="11"/>
      <c r="BZ238" s="11"/>
      <c r="CA238" s="11"/>
      <c r="CB238" s="12"/>
      <c r="CC238" s="13"/>
      <c r="CD238" s="14"/>
      <c r="CL238" s="11"/>
      <c r="CM238" s="11"/>
      <c r="CN238" s="11"/>
      <c r="CO238" s="11"/>
      <c r="CP238" s="11"/>
      <c r="CQ238" s="54"/>
      <c r="CR238" s="55"/>
      <c r="CS238" s="48"/>
      <c r="CT238" s="48"/>
      <c r="CU238" s="48"/>
      <c r="CV238" s="48"/>
      <c r="CW238" s="49"/>
      <c r="CX238" s="49"/>
    </row>
    <row r="239" spans="1:102" hidden="1" x14ac:dyDescent="0.25">
      <c r="A239" s="1" t="s">
        <v>262</v>
      </c>
      <c r="B239" s="1" t="s">
        <v>263</v>
      </c>
      <c r="C239" s="1" t="s">
        <v>263</v>
      </c>
      <c r="D239" s="2" t="s">
        <v>58</v>
      </c>
      <c r="E239" s="2" t="s">
        <v>58</v>
      </c>
      <c r="F239" s="3" t="e">
        <f>IF(BE239="S",
IF(#REF!+BM239=2018,
IF(#REF!=1,"18-19/1",
IF(#REF!=2,"18-19/2",
IF(#REF!=3,"19-20/1",
IF(#REF!=4,"19-20/2",
IF(#REF!=5,"20-21/1",
IF(#REF!=6,"20-21/2",
IF(#REF!=7,"21-22/1",
IF(#REF!=8,"21-22/2","Hata1")))))))),
IF(#REF!+BM239=2019,
IF(#REF!=1,"19-20/1",
IF(#REF!=2,"19-20/2",
IF(#REF!=3,"20-21/1",
IF(#REF!=4,"20-21/2",
IF(#REF!=5,"21-22/1",
IF(#REF!=6,"21-22/2",
IF(#REF!=7,"22-23/1",
IF(#REF!=8,"22-23/2","Hata2")))))))),
IF(#REF!+BM239=2020,
IF(#REF!=1,"20-21/1",
IF(#REF!=2,"20-21/2",
IF(#REF!=3,"21-22/1",
IF(#REF!=4,"21-22/2",
IF(#REF!=5,"22-23/1",
IF(#REF!=6,"22-23/2",
IF(#REF!=7,"23-24/1",
IF(#REF!=8,"23-24/2","Hata3")))))))),
IF(#REF!+BM239=2021,
IF(#REF!=1,"21-22/1",
IF(#REF!=2,"21-22/2",
IF(#REF!=3,"22-23/1",
IF(#REF!=4,"22-23/2",
IF(#REF!=5,"23-24/1",
IF(#REF!=6,"23-24/2",
IF(#REF!=7,"24-25/1",
IF(#REF!=8,"24-25/2","Hata4")))))))),
IF(#REF!+BM239=2022,
IF(#REF!=1,"22-23/1",
IF(#REF!=2,"22-23/2",
IF(#REF!=3,"23-24/1",
IF(#REF!=4,"23-24/2",
IF(#REF!=5,"24-25/1",
IF(#REF!=6,"24-25/2",
IF(#REF!=7,"25-26/1",
IF(#REF!=8,"25-26/2","Hata5")))))))),
IF(#REF!+BM239=2023,
IF(#REF!=1,"23-24/1",
IF(#REF!=2,"23-24/2",
IF(#REF!=3,"24-25/1",
IF(#REF!=4,"24-25/2",
IF(#REF!=5,"25-26/1",
IF(#REF!=6,"25-26/2",
IF(#REF!=7,"26-27/1",
IF(#REF!=8,"26-27/2","Hata6")))))))),
)))))),
IF(BE239="T",
IF(#REF!+BM239=2018,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IF(#REF!+BM239=2019,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IF(#REF!+BM239=2020,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IF(#REF!+BM239=2021,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IF(#REF!+BM239=2022,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IF(#REF!+BM239=2023,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39" s="1" t="s">
        <v>145</v>
      </c>
      <c r="J239" s="1">
        <v>4234778</v>
      </c>
      <c r="L239" s="2">
        <v>3507</v>
      </c>
      <c r="N239" s="2">
        <v>4</v>
      </c>
      <c r="O239" s="6">
        <f t="shared" si="181"/>
        <v>2</v>
      </c>
      <c r="P239" s="2">
        <f t="shared" si="182"/>
        <v>2</v>
      </c>
      <c r="Q239" s="2">
        <v>2</v>
      </c>
      <c r="R239" s="2">
        <v>0</v>
      </c>
      <c r="S239" s="2">
        <v>0</v>
      </c>
      <c r="X239" s="3">
        <v>4</v>
      </c>
      <c r="Y239" s="1">
        <f>VLOOKUP($X239,[27]ölçme_sistemleri!I:L,2,FALSE)</f>
        <v>0</v>
      </c>
      <c r="Z239" s="1">
        <f>VLOOKUP($X239,[27]ölçme_sistemleri!I:L,3,FALSE)</f>
        <v>1</v>
      </c>
      <c r="AA239" s="1">
        <f>VLOOKUP($X239,[27]ölçme_sistemleri!I:L,4,FALSE)</f>
        <v>1</v>
      </c>
      <c r="AB239" s="1">
        <f>$O239*[27]ölçme_sistemleri!J$13</f>
        <v>2</v>
      </c>
      <c r="AC239" s="1">
        <f>$O239*[27]ölçme_sistemleri!K$13</f>
        <v>4</v>
      </c>
      <c r="AD239" s="1">
        <f>$O239*[27]ölçme_sistemleri!L$13</f>
        <v>6</v>
      </c>
      <c r="AE239" s="1">
        <f t="shared" si="161"/>
        <v>0</v>
      </c>
      <c r="AF239" s="1">
        <f t="shared" si="162"/>
        <v>4</v>
      </c>
      <c r="AG239" s="1">
        <f t="shared" si="163"/>
        <v>6</v>
      </c>
      <c r="AH239" s="1">
        <f t="shared" si="164"/>
        <v>10</v>
      </c>
      <c r="AI239" s="1">
        <v>14</v>
      </c>
      <c r="AJ239" s="1">
        <f>VLOOKUP(X239,[27]ölçme_sistemleri!I:M,5,FALSE)</f>
        <v>1</v>
      </c>
      <c r="AK239" s="1">
        <f t="shared" si="165"/>
        <v>140</v>
      </c>
      <c r="AL239" s="1">
        <f>AI239*4</f>
        <v>56</v>
      </c>
      <c r="AM239" s="1">
        <f>VLOOKUP(X239,[27]ölçme_sistemleri!I:N,6,FALSE)</f>
        <v>2</v>
      </c>
      <c r="AN239" s="1">
        <v>2</v>
      </c>
      <c r="AO239" s="1">
        <f t="shared" si="166"/>
        <v>4</v>
      </c>
      <c r="AP239" s="1">
        <v>14</v>
      </c>
      <c r="AQ239" s="1">
        <f t="shared" si="167"/>
        <v>28</v>
      </c>
      <c r="AR239" s="1">
        <f t="shared" si="168"/>
        <v>98</v>
      </c>
      <c r="AS239" s="1">
        <f t="shared" si="169"/>
        <v>25</v>
      </c>
      <c r="AT239" s="1">
        <f t="shared" si="170"/>
        <v>4</v>
      </c>
      <c r="AU239" s="1">
        <f t="shared" si="171"/>
        <v>0</v>
      </c>
      <c r="AV239" s="1">
        <f t="shared" si="172"/>
        <v>0</v>
      </c>
      <c r="AW239" s="1">
        <f t="shared" si="173"/>
        <v>0</v>
      </c>
      <c r="AX239" s="1">
        <f t="shared" si="174"/>
        <v>0</v>
      </c>
      <c r="AY239" s="1">
        <f t="shared" si="175"/>
        <v>-10</v>
      </c>
      <c r="AZ239" s="1">
        <f t="shared" si="176"/>
        <v>0</v>
      </c>
      <c r="BA239" s="1">
        <f t="shared" si="177"/>
        <v>-56</v>
      </c>
      <c r="BB239" s="1">
        <f t="shared" si="178"/>
        <v>0</v>
      </c>
      <c r="BC239" s="1">
        <f t="shared" si="179"/>
        <v>-4</v>
      </c>
      <c r="BD239" s="1">
        <f t="shared" si="180"/>
        <v>0</v>
      </c>
      <c r="BE239" s="1" t="s">
        <v>65</v>
      </c>
      <c r="BF239" s="1">
        <f t="shared" si="183"/>
        <v>28</v>
      </c>
      <c r="BG239" s="1">
        <f t="shared" si="184"/>
        <v>28</v>
      </c>
      <c r="BH239" s="1">
        <f t="shared" si="185"/>
        <v>1</v>
      </c>
      <c r="BI239" s="1" t="e">
        <f>IF(BH239-#REF!=0,"DOĞRU","YANLIŞ")</f>
        <v>#REF!</v>
      </c>
      <c r="BJ239" s="1" t="e">
        <f>#REF!-BH239</f>
        <v>#REF!</v>
      </c>
      <c r="BK239" s="1">
        <v>0</v>
      </c>
      <c r="BM239" s="1">
        <v>0</v>
      </c>
      <c r="BO239" s="1">
        <v>4</v>
      </c>
      <c r="BT239" s="8">
        <f t="shared" si="186"/>
        <v>0</v>
      </c>
      <c r="BU239" s="9"/>
      <c r="BV239" s="10"/>
      <c r="BW239" s="11"/>
      <c r="BX239" s="11"/>
      <c r="BY239" s="11"/>
      <c r="BZ239" s="11"/>
      <c r="CA239" s="11"/>
      <c r="CB239" s="12"/>
      <c r="CC239" s="13"/>
      <c r="CD239" s="14"/>
      <c r="CL239" s="11"/>
      <c r="CM239" s="11"/>
      <c r="CN239" s="11"/>
      <c r="CO239" s="11"/>
      <c r="CP239" s="11"/>
      <c r="CQ239" s="54"/>
      <c r="CR239" s="55"/>
      <c r="CS239" s="54"/>
      <c r="CT239" s="46"/>
      <c r="CU239" s="48"/>
      <c r="CV239" s="48"/>
      <c r="CW239" s="49"/>
      <c r="CX239" s="49"/>
    </row>
    <row r="240" spans="1:102" hidden="1" x14ac:dyDescent="0.25">
      <c r="A240" s="1" t="s">
        <v>79</v>
      </c>
      <c r="B240" s="1" t="s">
        <v>80</v>
      </c>
      <c r="C240" s="1" t="s">
        <v>80</v>
      </c>
      <c r="D240" s="2" t="s">
        <v>58</v>
      </c>
      <c r="E240" s="2" t="s">
        <v>58</v>
      </c>
      <c r="F240" s="3" t="e">
        <f>IF(BE240="S",
IF(#REF!+BM240=2018,
IF(#REF!=1,"18-19/1",
IF(#REF!=2,"18-19/2",
IF(#REF!=3,"19-20/1",
IF(#REF!=4,"19-20/2",
IF(#REF!=5,"20-21/1",
IF(#REF!=6,"20-21/2",
IF(#REF!=7,"21-22/1",
IF(#REF!=8,"21-22/2","Hata1")))))))),
IF(#REF!+BM240=2019,
IF(#REF!=1,"19-20/1",
IF(#REF!=2,"19-20/2",
IF(#REF!=3,"20-21/1",
IF(#REF!=4,"20-21/2",
IF(#REF!=5,"21-22/1",
IF(#REF!=6,"21-22/2",
IF(#REF!=7,"22-23/1",
IF(#REF!=8,"22-23/2","Hata2")))))))),
IF(#REF!+BM240=2020,
IF(#REF!=1,"20-21/1",
IF(#REF!=2,"20-21/2",
IF(#REF!=3,"21-22/1",
IF(#REF!=4,"21-22/2",
IF(#REF!=5,"22-23/1",
IF(#REF!=6,"22-23/2",
IF(#REF!=7,"23-24/1",
IF(#REF!=8,"23-24/2","Hata3")))))))),
IF(#REF!+BM240=2021,
IF(#REF!=1,"21-22/1",
IF(#REF!=2,"21-22/2",
IF(#REF!=3,"22-23/1",
IF(#REF!=4,"22-23/2",
IF(#REF!=5,"23-24/1",
IF(#REF!=6,"23-24/2",
IF(#REF!=7,"24-25/1",
IF(#REF!=8,"24-25/2","Hata4")))))))),
IF(#REF!+BM240=2022,
IF(#REF!=1,"22-23/1",
IF(#REF!=2,"22-23/2",
IF(#REF!=3,"23-24/1",
IF(#REF!=4,"23-24/2",
IF(#REF!=5,"24-25/1",
IF(#REF!=6,"24-25/2",
IF(#REF!=7,"25-26/1",
IF(#REF!=8,"25-26/2","Hata5")))))))),
IF(#REF!+BM240=2023,
IF(#REF!=1,"23-24/1",
IF(#REF!=2,"23-24/2",
IF(#REF!=3,"24-25/1",
IF(#REF!=4,"24-25/2",
IF(#REF!=5,"25-26/1",
IF(#REF!=6,"25-26/2",
IF(#REF!=7,"26-27/1",
IF(#REF!=8,"26-27/2","Hata6")))))))),
)))))),
IF(BE240="T",
IF(#REF!+BM240=2018,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0" s="1" t="s">
        <v>145</v>
      </c>
      <c r="J240" s="1">
        <v>4234778</v>
      </c>
      <c r="L240" s="2">
        <v>3403</v>
      </c>
      <c r="N240" s="2">
        <v>4</v>
      </c>
      <c r="O240" s="6">
        <f t="shared" si="181"/>
        <v>2</v>
      </c>
      <c r="P240" s="2">
        <f t="shared" si="182"/>
        <v>2</v>
      </c>
      <c r="Q240" s="2">
        <v>2</v>
      </c>
      <c r="R240" s="2">
        <v>0</v>
      </c>
      <c r="S240" s="2">
        <v>0</v>
      </c>
      <c r="X240" s="3">
        <v>4</v>
      </c>
      <c r="Y240" s="1">
        <f>VLOOKUP($X240,[30]ölçme_sistemleri!I:L,2,FALSE)</f>
        <v>0</v>
      </c>
      <c r="Z240" s="1">
        <f>VLOOKUP($X240,[30]ölçme_sistemleri!I:L,3,FALSE)</f>
        <v>1</v>
      </c>
      <c r="AA240" s="1">
        <f>VLOOKUP($X240,[30]ölçme_sistemleri!I:L,4,FALSE)</f>
        <v>1</v>
      </c>
      <c r="AB240" s="1">
        <f>$O240*[30]ölçme_sistemleri!J$13</f>
        <v>2</v>
      </c>
      <c r="AC240" s="1">
        <f>$O240*[30]ölçme_sistemleri!K$13</f>
        <v>4</v>
      </c>
      <c r="AD240" s="1">
        <f>$O240*[30]ölçme_sistemleri!L$13</f>
        <v>6</v>
      </c>
      <c r="AE240" s="1">
        <f t="shared" si="161"/>
        <v>0</v>
      </c>
      <c r="AF240" s="1">
        <f t="shared" si="162"/>
        <v>4</v>
      </c>
      <c r="AG240" s="1">
        <f t="shared" si="163"/>
        <v>6</v>
      </c>
      <c r="AH240" s="1">
        <f t="shared" si="164"/>
        <v>10</v>
      </c>
      <c r="AI240" s="1">
        <v>14</v>
      </c>
      <c r="AJ240" s="1">
        <f>VLOOKUP(X240,[30]ölçme_sistemleri!I:M,5,FALSE)</f>
        <v>1</v>
      </c>
      <c r="AK240" s="1">
        <f t="shared" si="165"/>
        <v>140</v>
      </c>
      <c r="AL240" s="1">
        <f>AI240*4</f>
        <v>56</v>
      </c>
      <c r="AM240" s="1">
        <f>VLOOKUP(X240,[30]ölçme_sistemleri!I:N,6,FALSE)</f>
        <v>2</v>
      </c>
      <c r="AN240" s="1">
        <v>2</v>
      </c>
      <c r="AO240" s="1">
        <f t="shared" si="166"/>
        <v>4</v>
      </c>
      <c r="AP240" s="1">
        <v>14</v>
      </c>
      <c r="AQ240" s="1">
        <f t="shared" si="167"/>
        <v>28</v>
      </c>
      <c r="AR240" s="1">
        <f t="shared" si="168"/>
        <v>98</v>
      </c>
      <c r="AS240" s="1">
        <f t="shared" si="169"/>
        <v>25</v>
      </c>
      <c r="AT240" s="1">
        <f t="shared" si="170"/>
        <v>4</v>
      </c>
      <c r="AU240" s="1">
        <f t="shared" si="171"/>
        <v>0</v>
      </c>
      <c r="AV240" s="1">
        <f t="shared" si="172"/>
        <v>0</v>
      </c>
      <c r="AW240" s="1">
        <f t="shared" si="173"/>
        <v>0</v>
      </c>
      <c r="AX240" s="1">
        <f t="shared" si="174"/>
        <v>0</v>
      </c>
      <c r="AY240" s="1">
        <f t="shared" si="175"/>
        <v>-10</v>
      </c>
      <c r="AZ240" s="1">
        <f t="shared" si="176"/>
        <v>0</v>
      </c>
      <c r="BA240" s="1">
        <f t="shared" si="177"/>
        <v>-56</v>
      </c>
      <c r="BB240" s="1">
        <f t="shared" si="178"/>
        <v>0</v>
      </c>
      <c r="BC240" s="1">
        <f t="shared" si="179"/>
        <v>-4</v>
      </c>
      <c r="BD240" s="1">
        <f t="shared" si="180"/>
        <v>0</v>
      </c>
      <c r="BE240" s="1" t="s">
        <v>65</v>
      </c>
      <c r="BF240" s="1">
        <f t="shared" si="183"/>
        <v>28</v>
      </c>
      <c r="BG240" s="1">
        <f t="shared" si="184"/>
        <v>28</v>
      </c>
      <c r="BH240" s="1">
        <f t="shared" si="185"/>
        <v>1</v>
      </c>
      <c r="BI240" s="1" t="e">
        <f>IF(BH240-#REF!=0,"DOĞRU","YANLIŞ")</f>
        <v>#REF!</v>
      </c>
      <c r="BJ240" s="1" t="e">
        <f>#REF!-BH240</f>
        <v>#REF!</v>
      </c>
      <c r="BK240" s="1">
        <v>0</v>
      </c>
      <c r="BM240" s="1">
        <v>0</v>
      </c>
      <c r="BO240" s="1">
        <v>4</v>
      </c>
      <c r="BT240" s="8">
        <f t="shared" si="186"/>
        <v>0</v>
      </c>
      <c r="BU240" s="9"/>
      <c r="BV240" s="10"/>
      <c r="BW240" s="11"/>
      <c r="BX240" s="11"/>
      <c r="BY240" s="11"/>
      <c r="BZ240" s="11"/>
      <c r="CA240" s="11"/>
      <c r="CB240" s="12"/>
      <c r="CC240" s="13"/>
      <c r="CD240" s="14"/>
      <c r="CL240" s="11"/>
      <c r="CM240" s="11"/>
      <c r="CN240" s="11"/>
      <c r="CO240" s="11"/>
      <c r="CP240" s="11"/>
      <c r="CQ240" s="49"/>
      <c r="CR240" s="46"/>
      <c r="CS240" s="48"/>
      <c r="CT240" s="48"/>
      <c r="CU240" s="48"/>
      <c r="CV240" s="48"/>
      <c r="CW240" s="49"/>
      <c r="CX240" s="49"/>
    </row>
    <row r="241" spans="1:103" hidden="1" x14ac:dyDescent="0.25">
      <c r="A241" s="1" t="s">
        <v>252</v>
      </c>
      <c r="B241" s="1" t="s">
        <v>253</v>
      </c>
      <c r="C241" s="1" t="s">
        <v>253</v>
      </c>
      <c r="D241" s="2" t="s">
        <v>63</v>
      </c>
      <c r="E241" s="2" t="s">
        <v>63</v>
      </c>
      <c r="F241" s="3" t="e">
        <f>IF(BE241="S",
IF(#REF!+BM241=2018,
IF(#REF!=1,"18-19/1",
IF(#REF!=2,"18-19/2",
IF(#REF!=3,"19-20/1",
IF(#REF!=4,"19-20/2",
IF(#REF!=5,"20-21/1",
IF(#REF!=6,"20-21/2",
IF(#REF!=7,"21-22/1",
IF(#REF!=8,"21-22/2","Hata1")))))))),
IF(#REF!+BM241=2019,
IF(#REF!=1,"19-20/1",
IF(#REF!=2,"19-20/2",
IF(#REF!=3,"20-21/1",
IF(#REF!=4,"20-21/2",
IF(#REF!=5,"21-22/1",
IF(#REF!=6,"21-22/2",
IF(#REF!=7,"22-23/1",
IF(#REF!=8,"22-23/2","Hata2")))))))),
IF(#REF!+BM241=2020,
IF(#REF!=1,"20-21/1",
IF(#REF!=2,"20-21/2",
IF(#REF!=3,"21-22/1",
IF(#REF!=4,"21-22/2",
IF(#REF!=5,"22-23/1",
IF(#REF!=6,"22-23/2",
IF(#REF!=7,"23-24/1",
IF(#REF!=8,"23-24/2","Hata3")))))))),
IF(#REF!+BM241=2021,
IF(#REF!=1,"21-22/1",
IF(#REF!=2,"21-22/2",
IF(#REF!=3,"22-23/1",
IF(#REF!=4,"22-23/2",
IF(#REF!=5,"23-24/1",
IF(#REF!=6,"23-24/2",
IF(#REF!=7,"24-25/1",
IF(#REF!=8,"24-25/2","Hata4")))))))),
IF(#REF!+BM241=2022,
IF(#REF!=1,"22-23/1",
IF(#REF!=2,"22-23/2",
IF(#REF!=3,"23-24/1",
IF(#REF!=4,"23-24/2",
IF(#REF!=5,"24-25/1",
IF(#REF!=6,"24-25/2",
IF(#REF!=7,"25-26/1",
IF(#REF!=8,"25-26/2","Hata5")))))))),
IF(#REF!+BM241=2023,
IF(#REF!=1,"23-24/1",
IF(#REF!=2,"23-24/2",
IF(#REF!=3,"24-25/1",
IF(#REF!=4,"24-25/2",
IF(#REF!=5,"25-26/1",
IF(#REF!=6,"25-26/2",
IF(#REF!=7,"26-27/1",
IF(#REF!=8,"26-27/2","Hata6")))))))),
)))))),
IF(BE241="T",
IF(#REF!+BM241=2018,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1" s="1" t="s">
        <v>145</v>
      </c>
      <c r="J241" s="1">
        <v>4234778</v>
      </c>
      <c r="L241" s="2">
        <v>3503</v>
      </c>
      <c r="N241" s="2">
        <v>4</v>
      </c>
      <c r="O241" s="6">
        <f t="shared" si="181"/>
        <v>3</v>
      </c>
      <c r="P241" s="2">
        <f t="shared" si="182"/>
        <v>3</v>
      </c>
      <c r="Q241" s="2">
        <v>3</v>
      </c>
      <c r="R241" s="2">
        <v>0</v>
      </c>
      <c r="S241" s="2">
        <v>0</v>
      </c>
      <c r="X241" s="3">
        <v>4</v>
      </c>
      <c r="Y241" s="1">
        <f>VLOOKUP($X241,[30]ölçme_sistemleri!I:L,2,FALSE)</f>
        <v>0</v>
      </c>
      <c r="Z241" s="1">
        <f>VLOOKUP($X241,[30]ölçme_sistemleri!I:L,3,FALSE)</f>
        <v>1</v>
      </c>
      <c r="AA241" s="1">
        <f>VLOOKUP($X241,[30]ölçme_sistemleri!I:L,4,FALSE)</f>
        <v>1</v>
      </c>
      <c r="AB241" s="1">
        <f>$O241*[30]ölçme_sistemleri!J$13</f>
        <v>3</v>
      </c>
      <c r="AC241" s="1">
        <f>$O241*[30]ölçme_sistemleri!K$13</f>
        <v>6</v>
      </c>
      <c r="AD241" s="1">
        <f>$O241*[30]ölçme_sistemleri!L$13</f>
        <v>9</v>
      </c>
      <c r="AE241" s="1">
        <f t="shared" si="161"/>
        <v>0</v>
      </c>
      <c r="AF241" s="1">
        <f t="shared" si="162"/>
        <v>6</v>
      </c>
      <c r="AG241" s="1">
        <f t="shared" si="163"/>
        <v>9</v>
      </c>
      <c r="AH241" s="1">
        <f t="shared" si="164"/>
        <v>15</v>
      </c>
      <c r="AI241" s="1">
        <v>14</v>
      </c>
      <c r="AJ241" s="1">
        <f>VLOOKUP(X241,[30]ölçme_sistemleri!I:M,5,FALSE)</f>
        <v>1</v>
      </c>
      <c r="AK241" s="1">
        <f t="shared" si="165"/>
        <v>210</v>
      </c>
      <c r="AL241" s="1">
        <f>(Q241+S241)*AI241</f>
        <v>42</v>
      </c>
      <c r="AM241" s="1">
        <f>VLOOKUP(X241,[30]ölçme_sistemleri!I:N,6,FALSE)</f>
        <v>2</v>
      </c>
      <c r="AN241" s="1">
        <v>2</v>
      </c>
      <c r="AO241" s="1">
        <f t="shared" si="166"/>
        <v>4</v>
      </c>
      <c r="AP241" s="1">
        <v>14</v>
      </c>
      <c r="AQ241" s="1">
        <f t="shared" si="167"/>
        <v>42</v>
      </c>
      <c r="AR241" s="1">
        <f t="shared" si="168"/>
        <v>103</v>
      </c>
      <c r="AS241" s="1">
        <f t="shared" si="169"/>
        <v>25</v>
      </c>
      <c r="AT241" s="1">
        <f t="shared" si="170"/>
        <v>4</v>
      </c>
      <c r="AU241" s="1">
        <f t="shared" si="171"/>
        <v>0</v>
      </c>
      <c r="AV241" s="1">
        <f t="shared" si="172"/>
        <v>0</v>
      </c>
      <c r="AW241" s="1">
        <f t="shared" si="173"/>
        <v>0</v>
      </c>
      <c r="AX241" s="1">
        <f t="shared" si="174"/>
        <v>0</v>
      </c>
      <c r="AY241" s="1">
        <f t="shared" si="175"/>
        <v>-15</v>
      </c>
      <c r="AZ241" s="1">
        <f t="shared" si="176"/>
        <v>0</v>
      </c>
      <c r="BA241" s="1">
        <f t="shared" si="177"/>
        <v>-42</v>
      </c>
      <c r="BB241" s="1">
        <f t="shared" si="178"/>
        <v>0</v>
      </c>
      <c r="BC241" s="1">
        <f t="shared" si="179"/>
        <v>-4</v>
      </c>
      <c r="BD241" s="1">
        <f t="shared" si="180"/>
        <v>0</v>
      </c>
      <c r="BE241" s="1" t="s">
        <v>65</v>
      </c>
      <c r="BF241" s="1">
        <f t="shared" si="183"/>
        <v>42</v>
      </c>
      <c r="BG241" s="1">
        <f t="shared" si="184"/>
        <v>42</v>
      </c>
      <c r="BH241" s="1">
        <f t="shared" si="185"/>
        <v>1</v>
      </c>
      <c r="BI241" s="1" t="e">
        <f>IF(BH241-#REF!=0,"DOĞRU","YANLIŞ")</f>
        <v>#REF!</v>
      </c>
      <c r="BJ241" s="1" t="e">
        <f>#REF!-BH241</f>
        <v>#REF!</v>
      </c>
      <c r="BK241" s="1">
        <v>0</v>
      </c>
      <c r="BM241" s="1">
        <v>0</v>
      </c>
      <c r="BO241" s="1">
        <v>4</v>
      </c>
      <c r="BT241" s="8">
        <f t="shared" si="186"/>
        <v>0</v>
      </c>
      <c r="BU241" s="9"/>
      <c r="BV241" s="10"/>
      <c r="BW241" s="11"/>
      <c r="BX241" s="11"/>
      <c r="BY241" s="11"/>
      <c r="BZ241" s="11"/>
      <c r="CA241" s="11"/>
      <c r="CB241" s="12"/>
      <c r="CC241" s="13"/>
      <c r="CD241" s="14"/>
      <c r="CL241" s="11"/>
      <c r="CM241" s="11"/>
      <c r="CN241" s="11"/>
      <c r="CO241" s="11"/>
      <c r="CP241" s="11"/>
      <c r="CQ241" s="46"/>
      <c r="CR241" s="46"/>
      <c r="CS241" s="48"/>
      <c r="CT241" s="48"/>
      <c r="CU241" s="48"/>
      <c r="CV241" s="48"/>
      <c r="CW241" s="49"/>
      <c r="CX241" s="49"/>
    </row>
    <row r="242" spans="1:103" hidden="1" x14ac:dyDescent="0.25">
      <c r="A242" s="1" t="s">
        <v>256</v>
      </c>
      <c r="B242" s="1" t="s">
        <v>257</v>
      </c>
      <c r="C242" s="1" t="s">
        <v>257</v>
      </c>
      <c r="D242" s="2" t="s">
        <v>63</v>
      </c>
      <c r="E242" s="2" t="s">
        <v>63</v>
      </c>
      <c r="F242" s="3" t="e">
        <f>IF(BE242="S",
IF(#REF!+BM242=2018,
IF(#REF!=1,"18-19/1",
IF(#REF!=2,"18-19/2",
IF(#REF!=3,"19-20/1",
IF(#REF!=4,"19-20/2",
IF(#REF!=5,"20-21/1",
IF(#REF!=6,"20-21/2",
IF(#REF!=7,"21-22/1",
IF(#REF!=8,"21-22/2","Hata1")))))))),
IF(#REF!+BM242=2019,
IF(#REF!=1,"19-20/1",
IF(#REF!=2,"19-20/2",
IF(#REF!=3,"20-21/1",
IF(#REF!=4,"20-21/2",
IF(#REF!=5,"21-22/1",
IF(#REF!=6,"21-22/2",
IF(#REF!=7,"22-23/1",
IF(#REF!=8,"22-23/2","Hata2")))))))),
IF(#REF!+BM242=2020,
IF(#REF!=1,"20-21/1",
IF(#REF!=2,"20-21/2",
IF(#REF!=3,"21-22/1",
IF(#REF!=4,"21-22/2",
IF(#REF!=5,"22-23/1",
IF(#REF!=6,"22-23/2",
IF(#REF!=7,"23-24/1",
IF(#REF!=8,"23-24/2","Hata3")))))))),
IF(#REF!+BM242=2021,
IF(#REF!=1,"21-22/1",
IF(#REF!=2,"21-22/2",
IF(#REF!=3,"22-23/1",
IF(#REF!=4,"22-23/2",
IF(#REF!=5,"23-24/1",
IF(#REF!=6,"23-24/2",
IF(#REF!=7,"24-25/1",
IF(#REF!=8,"24-25/2","Hata4")))))))),
IF(#REF!+BM242=2022,
IF(#REF!=1,"22-23/1",
IF(#REF!=2,"22-23/2",
IF(#REF!=3,"23-24/1",
IF(#REF!=4,"23-24/2",
IF(#REF!=5,"24-25/1",
IF(#REF!=6,"24-25/2",
IF(#REF!=7,"25-26/1",
IF(#REF!=8,"25-26/2","Hata5")))))))),
IF(#REF!+BM242=2023,
IF(#REF!=1,"23-24/1",
IF(#REF!=2,"23-24/2",
IF(#REF!=3,"24-25/1",
IF(#REF!=4,"24-25/2",
IF(#REF!=5,"25-26/1",
IF(#REF!=6,"25-26/2",
IF(#REF!=7,"26-27/1",
IF(#REF!=8,"26-27/2","Hata6")))))))),
)))))),
IF(BE242="T",
IF(#REF!+BM242=2018,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2" s="1" t="s">
        <v>145</v>
      </c>
      <c r="J242" s="1">
        <v>4234778</v>
      </c>
      <c r="L242" s="2">
        <v>3502</v>
      </c>
      <c r="N242" s="2">
        <v>5</v>
      </c>
      <c r="O242" s="6">
        <f t="shared" si="181"/>
        <v>3</v>
      </c>
      <c r="P242" s="2">
        <f t="shared" si="182"/>
        <v>3</v>
      </c>
      <c r="Q242" s="2">
        <v>0</v>
      </c>
      <c r="R242" s="2">
        <v>0</v>
      </c>
      <c r="S242" s="2">
        <v>3</v>
      </c>
      <c r="X242" s="3">
        <v>3</v>
      </c>
      <c r="Y242" s="1">
        <f>VLOOKUP($X242,[30]ölçme_sistemleri!I:L,2,FALSE)</f>
        <v>2</v>
      </c>
      <c r="Z242" s="1">
        <f>VLOOKUP($X242,[30]ölçme_sistemleri!I:L,3,FALSE)</f>
        <v>1</v>
      </c>
      <c r="AA242" s="1">
        <f>VLOOKUP($X242,[30]ölçme_sistemleri!I:L,4,FALSE)</f>
        <v>1</v>
      </c>
      <c r="AB242" s="1">
        <f>$O242*[30]ölçme_sistemleri!J$13</f>
        <v>3</v>
      </c>
      <c r="AC242" s="1">
        <f>$O242*[30]ölçme_sistemleri!K$13</f>
        <v>6</v>
      </c>
      <c r="AD242" s="1">
        <f>$O242*[30]ölçme_sistemleri!L$13</f>
        <v>9</v>
      </c>
      <c r="AE242" s="1">
        <f t="shared" si="161"/>
        <v>6</v>
      </c>
      <c r="AF242" s="1">
        <f t="shared" si="162"/>
        <v>6</v>
      </c>
      <c r="AG242" s="1">
        <f t="shared" si="163"/>
        <v>9</v>
      </c>
      <c r="AH242" s="1">
        <f t="shared" si="164"/>
        <v>21</v>
      </c>
      <c r="AI242" s="1">
        <v>14</v>
      </c>
      <c r="AJ242" s="1">
        <f>VLOOKUP(X242,[30]ölçme_sistemleri!I:M,5,FALSE)</f>
        <v>3</v>
      </c>
      <c r="AK242" s="1">
        <f t="shared" si="165"/>
        <v>294</v>
      </c>
      <c r="AL242" s="1">
        <f>(Q242+S242)*AI242</f>
        <v>42</v>
      </c>
      <c r="AM242" s="1">
        <f>VLOOKUP(X242,[30]ölçme_sistemleri!I:N,6,FALSE)</f>
        <v>4</v>
      </c>
      <c r="AN242" s="1">
        <v>2</v>
      </c>
      <c r="AO242" s="1">
        <f t="shared" si="166"/>
        <v>8</v>
      </c>
      <c r="AP242" s="1">
        <v>14</v>
      </c>
      <c r="AQ242" s="1">
        <f t="shared" si="167"/>
        <v>42</v>
      </c>
      <c r="AR242" s="1">
        <f t="shared" si="168"/>
        <v>113</v>
      </c>
      <c r="AS242" s="1">
        <f t="shared" si="169"/>
        <v>25</v>
      </c>
      <c r="AT242" s="1">
        <f t="shared" si="170"/>
        <v>5</v>
      </c>
      <c r="AU242" s="1">
        <f t="shared" si="171"/>
        <v>0</v>
      </c>
      <c r="AV242" s="1">
        <f t="shared" si="172"/>
        <v>0</v>
      </c>
      <c r="AW242" s="1">
        <f t="shared" si="173"/>
        <v>0</v>
      </c>
      <c r="AX242" s="1">
        <f t="shared" si="174"/>
        <v>0</v>
      </c>
      <c r="AY242" s="1">
        <f t="shared" si="175"/>
        <v>-21</v>
      </c>
      <c r="AZ242" s="1">
        <f t="shared" si="176"/>
        <v>0</v>
      </c>
      <c r="BA242" s="1">
        <f t="shared" si="177"/>
        <v>-42</v>
      </c>
      <c r="BB242" s="1">
        <f t="shared" si="178"/>
        <v>0</v>
      </c>
      <c r="BC242" s="1">
        <f t="shared" si="179"/>
        <v>-8</v>
      </c>
      <c r="BD242" s="1">
        <f t="shared" si="180"/>
        <v>0</v>
      </c>
      <c r="BE242" s="1" t="s">
        <v>65</v>
      </c>
      <c r="BF242" s="1">
        <f t="shared" si="183"/>
        <v>42</v>
      </c>
      <c r="BG242" s="1">
        <f t="shared" si="184"/>
        <v>42</v>
      </c>
      <c r="BH242" s="1">
        <f t="shared" si="185"/>
        <v>1</v>
      </c>
      <c r="BI242" s="1" t="e">
        <f>IF(BH242-#REF!=0,"DOĞRU","YANLIŞ")</f>
        <v>#REF!</v>
      </c>
      <c r="BJ242" s="1" t="e">
        <f>#REF!-BH242</f>
        <v>#REF!</v>
      </c>
      <c r="BK242" s="1">
        <v>0</v>
      </c>
      <c r="BM242" s="1">
        <v>0</v>
      </c>
      <c r="BO242" s="1">
        <v>4</v>
      </c>
      <c r="BT242" s="8">
        <f t="shared" si="186"/>
        <v>0</v>
      </c>
      <c r="BU242" s="9"/>
      <c r="BV242" s="10"/>
      <c r="BW242" s="11"/>
      <c r="BX242" s="11"/>
      <c r="BY242" s="11"/>
      <c r="BZ242" s="11"/>
      <c r="CA242" s="11"/>
      <c r="CB242" s="12"/>
      <c r="CC242" s="13"/>
      <c r="CD242" s="14"/>
      <c r="CL242" s="11"/>
      <c r="CM242" s="11"/>
      <c r="CN242" s="11"/>
      <c r="CO242" s="11"/>
      <c r="CP242" s="11"/>
      <c r="CQ242" s="54"/>
      <c r="CR242" s="46"/>
      <c r="CS242" s="48"/>
      <c r="CT242" s="48"/>
      <c r="CU242" s="48"/>
      <c r="CV242" s="48"/>
      <c r="CW242" s="49"/>
      <c r="CX242" s="49"/>
    </row>
    <row r="243" spans="1:103" hidden="1" x14ac:dyDescent="0.25">
      <c r="A243" s="1" t="s">
        <v>254</v>
      </c>
      <c r="B243" s="1" t="s">
        <v>255</v>
      </c>
      <c r="C243" s="1" t="s">
        <v>255</v>
      </c>
      <c r="D243" s="2" t="s">
        <v>63</v>
      </c>
      <c r="E243" s="2" t="s">
        <v>63</v>
      </c>
      <c r="F243" s="3" t="e">
        <f>IF(BE243="S",
IF(#REF!+BM243=2018,
IF(#REF!=1,"18-19/1",
IF(#REF!=2,"18-19/2",
IF(#REF!=3,"19-20/1",
IF(#REF!=4,"19-20/2",
IF(#REF!=5,"20-21/1",
IF(#REF!=6,"20-21/2",
IF(#REF!=7,"21-22/1",
IF(#REF!=8,"21-22/2","Hata1")))))))),
IF(#REF!+BM243=2019,
IF(#REF!=1,"19-20/1",
IF(#REF!=2,"19-20/2",
IF(#REF!=3,"20-21/1",
IF(#REF!=4,"20-21/2",
IF(#REF!=5,"21-22/1",
IF(#REF!=6,"21-22/2",
IF(#REF!=7,"22-23/1",
IF(#REF!=8,"22-23/2","Hata2")))))))),
IF(#REF!+BM243=2020,
IF(#REF!=1,"20-21/1",
IF(#REF!=2,"20-21/2",
IF(#REF!=3,"21-22/1",
IF(#REF!=4,"21-22/2",
IF(#REF!=5,"22-23/1",
IF(#REF!=6,"22-23/2",
IF(#REF!=7,"23-24/1",
IF(#REF!=8,"23-24/2","Hata3")))))))),
IF(#REF!+BM243=2021,
IF(#REF!=1,"21-22/1",
IF(#REF!=2,"21-22/2",
IF(#REF!=3,"22-23/1",
IF(#REF!=4,"22-23/2",
IF(#REF!=5,"23-24/1",
IF(#REF!=6,"23-24/2",
IF(#REF!=7,"24-25/1",
IF(#REF!=8,"24-25/2","Hata4")))))))),
IF(#REF!+BM243=2022,
IF(#REF!=1,"22-23/1",
IF(#REF!=2,"22-23/2",
IF(#REF!=3,"23-24/1",
IF(#REF!=4,"23-24/2",
IF(#REF!=5,"24-25/1",
IF(#REF!=6,"24-25/2",
IF(#REF!=7,"25-26/1",
IF(#REF!=8,"25-26/2","Hata5")))))))),
IF(#REF!+BM243=2023,
IF(#REF!=1,"23-24/1",
IF(#REF!=2,"23-24/2",
IF(#REF!=3,"24-25/1",
IF(#REF!=4,"24-25/2",
IF(#REF!=5,"25-26/1",
IF(#REF!=6,"25-26/2",
IF(#REF!=7,"26-27/1",
IF(#REF!=8,"26-27/2","Hata6")))))))),
)))))),
IF(BE243="T",
IF(#REF!+BM243=2018,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3" s="1" t="s">
        <v>145</v>
      </c>
      <c r="J243" s="1">
        <v>4234778</v>
      </c>
      <c r="L243" s="2">
        <v>3504</v>
      </c>
      <c r="N243" s="2">
        <v>5</v>
      </c>
      <c r="O243" s="6">
        <f t="shared" si="181"/>
        <v>3</v>
      </c>
      <c r="P243" s="2">
        <f t="shared" si="182"/>
        <v>3</v>
      </c>
      <c r="Q243" s="2">
        <v>3</v>
      </c>
      <c r="R243" s="2">
        <v>0</v>
      </c>
      <c r="S243" s="2">
        <v>0</v>
      </c>
      <c r="X243" s="3">
        <v>3</v>
      </c>
      <c r="Y243" s="1">
        <f>VLOOKUP($X243,[30]ölçme_sistemleri!I:L,2,FALSE)</f>
        <v>2</v>
      </c>
      <c r="Z243" s="1">
        <f>VLOOKUP($X243,[30]ölçme_sistemleri!I:L,3,FALSE)</f>
        <v>1</v>
      </c>
      <c r="AA243" s="1">
        <f>VLOOKUP($X243,[30]ölçme_sistemleri!I:L,4,FALSE)</f>
        <v>1</v>
      </c>
      <c r="AB243" s="1">
        <f>$O243*[30]ölçme_sistemleri!J$13</f>
        <v>3</v>
      </c>
      <c r="AC243" s="1">
        <f>$O243*[30]ölçme_sistemleri!K$13</f>
        <v>6</v>
      </c>
      <c r="AD243" s="1">
        <f>$O243*[30]ölçme_sistemleri!L$13</f>
        <v>9</v>
      </c>
      <c r="AE243" s="1">
        <f t="shared" si="161"/>
        <v>6</v>
      </c>
      <c r="AF243" s="1">
        <f t="shared" si="162"/>
        <v>6</v>
      </c>
      <c r="AG243" s="1">
        <f t="shared" si="163"/>
        <v>9</v>
      </c>
      <c r="AH243" s="1">
        <f t="shared" si="164"/>
        <v>21</v>
      </c>
      <c r="AI243" s="1">
        <v>14</v>
      </c>
      <c r="AJ243" s="1">
        <f>VLOOKUP(X243,[30]ölçme_sistemleri!I:M,5,FALSE)</f>
        <v>3</v>
      </c>
      <c r="AK243" s="1">
        <f t="shared" si="165"/>
        <v>294</v>
      </c>
      <c r="AL243" s="1">
        <f>(Q243+S243)*AI243</f>
        <v>42</v>
      </c>
      <c r="AM243" s="1">
        <f>VLOOKUP(X243,[30]ölçme_sistemleri!I:N,6,FALSE)</f>
        <v>4</v>
      </c>
      <c r="AN243" s="1">
        <v>2</v>
      </c>
      <c r="AO243" s="1">
        <f t="shared" si="166"/>
        <v>8</v>
      </c>
      <c r="AP243" s="1">
        <v>14</v>
      </c>
      <c r="AQ243" s="1">
        <f t="shared" si="167"/>
        <v>42</v>
      </c>
      <c r="AR243" s="1">
        <f t="shared" si="168"/>
        <v>113</v>
      </c>
      <c r="AS243" s="1">
        <f t="shared" si="169"/>
        <v>25</v>
      </c>
      <c r="AT243" s="1">
        <f t="shared" si="170"/>
        <v>5</v>
      </c>
      <c r="AU243" s="1">
        <f t="shared" si="171"/>
        <v>0</v>
      </c>
      <c r="AV243" s="1">
        <f t="shared" si="172"/>
        <v>0</v>
      </c>
      <c r="AW243" s="1">
        <f t="shared" si="173"/>
        <v>0</v>
      </c>
      <c r="AX243" s="1">
        <f t="shared" si="174"/>
        <v>0</v>
      </c>
      <c r="AY243" s="1">
        <f t="shared" si="175"/>
        <v>-21</v>
      </c>
      <c r="AZ243" s="1">
        <f t="shared" si="176"/>
        <v>0</v>
      </c>
      <c r="BA243" s="1">
        <f t="shared" si="177"/>
        <v>-42</v>
      </c>
      <c r="BB243" s="1">
        <f t="shared" si="178"/>
        <v>0</v>
      </c>
      <c r="BC243" s="1">
        <f t="shared" si="179"/>
        <v>-8</v>
      </c>
      <c r="BD243" s="1">
        <f t="shared" si="180"/>
        <v>0</v>
      </c>
      <c r="BE243" s="1" t="s">
        <v>65</v>
      </c>
      <c r="BF243" s="1">
        <f t="shared" si="183"/>
        <v>42</v>
      </c>
      <c r="BG243" s="1">
        <f t="shared" si="184"/>
        <v>42</v>
      </c>
      <c r="BH243" s="1">
        <f t="shared" si="185"/>
        <v>1</v>
      </c>
      <c r="BI243" s="1" t="e">
        <f>IF(BH243-#REF!=0,"DOĞRU","YANLIŞ")</f>
        <v>#REF!</v>
      </c>
      <c r="BJ243" s="1" t="e">
        <f>#REF!-BH243</f>
        <v>#REF!</v>
      </c>
      <c r="BK243" s="1">
        <v>0</v>
      </c>
      <c r="BM243" s="1">
        <v>0</v>
      </c>
      <c r="BO243" s="1">
        <v>4</v>
      </c>
      <c r="BT243" s="8">
        <f t="shared" si="186"/>
        <v>0</v>
      </c>
      <c r="BU243" s="9"/>
      <c r="BV243" s="10"/>
      <c r="BW243" s="11"/>
      <c r="BX243" s="11"/>
      <c r="BY243" s="11"/>
      <c r="BZ243" s="11"/>
      <c r="CA243" s="11"/>
      <c r="CB243" s="12"/>
      <c r="CC243" s="13"/>
      <c r="CD243" s="14"/>
      <c r="CL243" s="11"/>
      <c r="CM243" s="11"/>
      <c r="CN243" s="11"/>
      <c r="CO243" s="11"/>
      <c r="CP243" s="11"/>
      <c r="CQ243" s="49"/>
      <c r="CR243" s="46"/>
      <c r="CS243" s="48"/>
      <c r="CT243" s="48"/>
      <c r="CU243" s="48"/>
      <c r="CV243" s="48"/>
      <c r="CW243" s="49"/>
      <c r="CX243" s="49"/>
    </row>
    <row r="244" spans="1:103" hidden="1" x14ac:dyDescent="0.25">
      <c r="A244" s="1" t="s">
        <v>268</v>
      </c>
      <c r="B244" s="1" t="s">
        <v>269</v>
      </c>
      <c r="C244" s="1" t="s">
        <v>269</v>
      </c>
      <c r="D244" s="2" t="s">
        <v>63</v>
      </c>
      <c r="E244" s="2" t="s">
        <v>63</v>
      </c>
      <c r="F244" s="3" t="e">
        <f>IF(BE244="S",
IF(#REF!+BM244=2018,
IF(#REF!=1,"18-19/1",
IF(#REF!=2,"18-19/2",
IF(#REF!=3,"19-20/1",
IF(#REF!=4,"19-20/2",
IF(#REF!=5,"20-21/1",
IF(#REF!=6,"20-21/2",
IF(#REF!=7,"21-22/1",
IF(#REF!=8,"21-22/2","Hata1")))))))),
IF(#REF!+BM244=2019,
IF(#REF!=1,"19-20/1",
IF(#REF!=2,"19-20/2",
IF(#REF!=3,"20-21/1",
IF(#REF!=4,"20-21/2",
IF(#REF!=5,"21-22/1",
IF(#REF!=6,"21-22/2",
IF(#REF!=7,"22-23/1",
IF(#REF!=8,"22-23/2","Hata2")))))))),
IF(#REF!+BM244=2020,
IF(#REF!=1,"20-21/1",
IF(#REF!=2,"20-21/2",
IF(#REF!=3,"21-22/1",
IF(#REF!=4,"21-22/2",
IF(#REF!=5,"22-23/1",
IF(#REF!=6,"22-23/2",
IF(#REF!=7,"23-24/1",
IF(#REF!=8,"23-24/2","Hata3")))))))),
IF(#REF!+BM244=2021,
IF(#REF!=1,"21-22/1",
IF(#REF!=2,"21-22/2",
IF(#REF!=3,"22-23/1",
IF(#REF!=4,"22-23/2",
IF(#REF!=5,"23-24/1",
IF(#REF!=6,"23-24/2",
IF(#REF!=7,"24-25/1",
IF(#REF!=8,"24-25/2","Hata4")))))))),
IF(#REF!+BM244=2022,
IF(#REF!=1,"22-23/1",
IF(#REF!=2,"22-23/2",
IF(#REF!=3,"23-24/1",
IF(#REF!=4,"23-24/2",
IF(#REF!=5,"24-25/1",
IF(#REF!=6,"24-25/2",
IF(#REF!=7,"25-26/1",
IF(#REF!=8,"25-26/2","Hata5")))))))),
IF(#REF!+BM244=2023,
IF(#REF!=1,"23-24/1",
IF(#REF!=2,"23-24/2",
IF(#REF!=3,"24-25/1",
IF(#REF!=4,"24-25/2",
IF(#REF!=5,"25-26/1",
IF(#REF!=6,"25-26/2",
IF(#REF!=7,"26-27/1",
IF(#REF!=8,"26-27/2","Hata6")))))))),
)))))),
IF(BE244="T",
IF(#REF!+BM244=2018,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4" s="1" t="s">
        <v>145</v>
      </c>
      <c r="J244" s="1">
        <v>4234778</v>
      </c>
      <c r="L244" s="2">
        <v>3495</v>
      </c>
      <c r="N244" s="2">
        <v>4</v>
      </c>
      <c r="O244" s="6">
        <f t="shared" si="181"/>
        <v>2</v>
      </c>
      <c r="P244" s="2">
        <f t="shared" si="182"/>
        <v>2</v>
      </c>
      <c r="Q244" s="2">
        <v>0</v>
      </c>
      <c r="R244" s="2">
        <v>0</v>
      </c>
      <c r="S244" s="2">
        <v>2</v>
      </c>
      <c r="X244" s="3">
        <v>4</v>
      </c>
      <c r="Y244" s="1">
        <f>VLOOKUP($X244,[26]ölçme_sistemleri!I:L,2,FALSE)</f>
        <v>0</v>
      </c>
      <c r="Z244" s="1">
        <f>VLOOKUP($X244,[26]ölçme_sistemleri!I:L,3,FALSE)</f>
        <v>1</v>
      </c>
      <c r="AA244" s="1">
        <f>VLOOKUP($X244,[26]ölçme_sistemleri!I:L,4,FALSE)</f>
        <v>1</v>
      </c>
      <c r="AB244" s="1">
        <f>$O244*[26]ölçme_sistemleri!J$13</f>
        <v>2</v>
      </c>
      <c r="AC244" s="1">
        <f>$O244*[26]ölçme_sistemleri!K$13</f>
        <v>4</v>
      </c>
      <c r="AD244" s="1">
        <f>$O244*[26]ölçme_sistemleri!L$13</f>
        <v>6</v>
      </c>
      <c r="AE244" s="1">
        <f t="shared" si="161"/>
        <v>0</v>
      </c>
      <c r="AF244" s="1">
        <f t="shared" si="162"/>
        <v>4</v>
      </c>
      <c r="AG244" s="1">
        <f t="shared" si="163"/>
        <v>6</v>
      </c>
      <c r="AH244" s="1">
        <f t="shared" si="164"/>
        <v>10</v>
      </c>
      <c r="AI244" s="1">
        <v>14</v>
      </c>
      <c r="AJ244" s="1">
        <f>VLOOKUP(X244,[26]ölçme_sistemleri!I:M,5,FALSE)</f>
        <v>1</v>
      </c>
      <c r="AK244" s="1">
        <f t="shared" si="165"/>
        <v>140</v>
      </c>
      <c r="AL244" s="1">
        <f>AI244*4</f>
        <v>56</v>
      </c>
      <c r="AM244" s="1">
        <f>VLOOKUP(X244,[26]ölçme_sistemleri!I:N,6,FALSE)</f>
        <v>2</v>
      </c>
      <c r="AN244" s="1">
        <v>2</v>
      </c>
      <c r="AO244" s="1">
        <f t="shared" si="166"/>
        <v>4</v>
      </c>
      <c r="AP244" s="1">
        <v>14</v>
      </c>
      <c r="AQ244" s="1">
        <f t="shared" si="167"/>
        <v>28</v>
      </c>
      <c r="AR244" s="1">
        <f t="shared" si="168"/>
        <v>98</v>
      </c>
      <c r="AS244" s="1">
        <f t="shared" si="169"/>
        <v>25</v>
      </c>
      <c r="AT244" s="1">
        <f t="shared" si="170"/>
        <v>4</v>
      </c>
      <c r="AU244" s="1">
        <f t="shared" si="171"/>
        <v>0</v>
      </c>
      <c r="AV244" s="1">
        <f t="shared" si="172"/>
        <v>0</v>
      </c>
      <c r="AW244" s="1">
        <f t="shared" si="173"/>
        <v>0</v>
      </c>
      <c r="AX244" s="1">
        <f t="shared" si="174"/>
        <v>0</v>
      </c>
      <c r="AY244" s="1">
        <f t="shared" si="175"/>
        <v>-10</v>
      </c>
      <c r="AZ244" s="1">
        <f t="shared" si="176"/>
        <v>0</v>
      </c>
      <c r="BA244" s="1">
        <f t="shared" si="177"/>
        <v>-56</v>
      </c>
      <c r="BB244" s="1">
        <f t="shared" si="178"/>
        <v>0</v>
      </c>
      <c r="BC244" s="1">
        <f t="shared" si="179"/>
        <v>-4</v>
      </c>
      <c r="BD244" s="1">
        <f t="shared" si="180"/>
        <v>0</v>
      </c>
      <c r="BE244" s="1" t="s">
        <v>65</v>
      </c>
      <c r="BF244" s="1">
        <f t="shared" si="183"/>
        <v>28</v>
      </c>
      <c r="BG244" s="1">
        <f t="shared" si="184"/>
        <v>28</v>
      </c>
      <c r="BH244" s="1">
        <f t="shared" si="185"/>
        <v>1</v>
      </c>
      <c r="BI244" s="1" t="e">
        <f>IF(BH244-#REF!=0,"DOĞRU","YANLIŞ")</f>
        <v>#REF!</v>
      </c>
      <c r="BJ244" s="1" t="e">
        <f>#REF!-BH244</f>
        <v>#REF!</v>
      </c>
      <c r="BK244" s="1">
        <v>0</v>
      </c>
      <c r="BM244" s="1">
        <v>0</v>
      </c>
      <c r="BO244" s="1">
        <v>6</v>
      </c>
      <c r="BT244" s="8">
        <f t="shared" si="186"/>
        <v>0</v>
      </c>
      <c r="BU244" s="9"/>
      <c r="BV244" s="10"/>
      <c r="BW244" s="11"/>
      <c r="BX244" s="11"/>
      <c r="BY244" s="11"/>
      <c r="BZ244" s="11"/>
      <c r="CA244" s="11"/>
      <c r="CB244" s="12"/>
      <c r="CC244" s="13"/>
      <c r="CD244" s="14"/>
      <c r="CL244" s="11"/>
      <c r="CM244" s="11"/>
      <c r="CN244" s="11"/>
      <c r="CO244" s="11"/>
      <c r="CP244" s="11"/>
      <c r="CQ244" s="49"/>
      <c r="CR244" s="46"/>
      <c r="CS244" s="49"/>
      <c r="CT244" s="48"/>
      <c r="CU244" s="49"/>
      <c r="CV244" s="48"/>
      <c r="CW244" s="49"/>
      <c r="CX244" s="49"/>
    </row>
    <row r="245" spans="1:103" hidden="1" x14ac:dyDescent="0.25">
      <c r="A245" s="1" t="s">
        <v>129</v>
      </c>
      <c r="B245" s="1" t="s">
        <v>130</v>
      </c>
      <c r="C245" s="1" t="s">
        <v>130</v>
      </c>
      <c r="D245" s="2" t="s">
        <v>63</v>
      </c>
      <c r="E245" s="2" t="s">
        <v>63</v>
      </c>
      <c r="F245" s="3" t="e">
        <f>IF(BE245="S",
IF(#REF!+BM245=2018,
IF(#REF!=1,"18-19/1",
IF(#REF!=2,"18-19/2",
IF(#REF!=3,"19-20/1",
IF(#REF!=4,"19-20/2",
IF(#REF!=5,"20-21/1",
IF(#REF!=6,"20-21/2",
IF(#REF!=7,"21-22/1",
IF(#REF!=8,"21-22/2","Hata1")))))))),
IF(#REF!+BM245=2019,
IF(#REF!=1,"19-20/1",
IF(#REF!=2,"19-20/2",
IF(#REF!=3,"20-21/1",
IF(#REF!=4,"20-21/2",
IF(#REF!=5,"21-22/1",
IF(#REF!=6,"21-22/2",
IF(#REF!=7,"22-23/1",
IF(#REF!=8,"22-23/2","Hata2")))))))),
IF(#REF!+BM245=2020,
IF(#REF!=1,"20-21/1",
IF(#REF!=2,"20-21/2",
IF(#REF!=3,"21-22/1",
IF(#REF!=4,"21-22/2",
IF(#REF!=5,"22-23/1",
IF(#REF!=6,"22-23/2",
IF(#REF!=7,"23-24/1",
IF(#REF!=8,"23-24/2","Hata3")))))))),
IF(#REF!+BM245=2021,
IF(#REF!=1,"21-22/1",
IF(#REF!=2,"21-22/2",
IF(#REF!=3,"22-23/1",
IF(#REF!=4,"22-23/2",
IF(#REF!=5,"23-24/1",
IF(#REF!=6,"23-24/2",
IF(#REF!=7,"24-25/1",
IF(#REF!=8,"24-25/2","Hata4")))))))),
IF(#REF!+BM245=2022,
IF(#REF!=1,"22-23/1",
IF(#REF!=2,"22-23/2",
IF(#REF!=3,"23-24/1",
IF(#REF!=4,"23-24/2",
IF(#REF!=5,"24-25/1",
IF(#REF!=6,"24-25/2",
IF(#REF!=7,"25-26/1",
IF(#REF!=8,"25-26/2","Hata5")))))))),
IF(#REF!+BM245=2023,
IF(#REF!=1,"23-24/1",
IF(#REF!=2,"23-24/2",
IF(#REF!=3,"24-25/1",
IF(#REF!=4,"24-25/2",
IF(#REF!=5,"25-26/1",
IF(#REF!=6,"25-26/2",
IF(#REF!=7,"26-27/1",
IF(#REF!=8,"26-27/2","Hata6")))))))),
)))))),
IF(BE245="T",
IF(#REF!+BM245=2018,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5" s="1" t="s">
        <v>145</v>
      </c>
      <c r="J245" s="1">
        <v>4234778</v>
      </c>
      <c r="L245" s="2">
        <v>3397</v>
      </c>
      <c r="N245" s="2">
        <v>4</v>
      </c>
      <c r="O245" s="6">
        <f t="shared" si="181"/>
        <v>3</v>
      </c>
      <c r="P245" s="2">
        <f t="shared" si="182"/>
        <v>3</v>
      </c>
      <c r="Q245" s="2">
        <v>0</v>
      </c>
      <c r="R245" s="2">
        <v>0</v>
      </c>
      <c r="S245" s="2">
        <v>3</v>
      </c>
      <c r="X245" s="3">
        <v>2</v>
      </c>
      <c r="Y245" s="1">
        <f>VLOOKUP($X245,[26]ölçme_sistemleri!I:L,2,FALSE)</f>
        <v>0</v>
      </c>
      <c r="Z245" s="1">
        <f>VLOOKUP($X245,[26]ölçme_sistemleri!I:L,3,FALSE)</f>
        <v>2</v>
      </c>
      <c r="AA245" s="1">
        <f>VLOOKUP($X245,[26]ölçme_sistemleri!I:L,4,FALSE)</f>
        <v>1</v>
      </c>
      <c r="AB245" s="1">
        <f>$O245*[26]ölçme_sistemleri!J$13</f>
        <v>3</v>
      </c>
      <c r="AC245" s="1">
        <f>$O245*[26]ölçme_sistemleri!K$13</f>
        <v>6</v>
      </c>
      <c r="AD245" s="1">
        <f>$O245*[26]ölçme_sistemleri!L$13</f>
        <v>9</v>
      </c>
      <c r="AE245" s="1">
        <f t="shared" si="161"/>
        <v>0</v>
      </c>
      <c r="AF245" s="1">
        <f t="shared" si="162"/>
        <v>12</v>
      </c>
      <c r="AG245" s="1">
        <f t="shared" si="163"/>
        <v>9</v>
      </c>
      <c r="AH245" s="1">
        <f t="shared" si="164"/>
        <v>21</v>
      </c>
      <c r="AI245" s="1">
        <v>14</v>
      </c>
      <c r="AJ245" s="1">
        <f>VLOOKUP(X245,[26]ölçme_sistemleri!I:M,5,FALSE)</f>
        <v>2</v>
      </c>
      <c r="AK245" s="1">
        <f t="shared" si="165"/>
        <v>294</v>
      </c>
      <c r="AL245" s="1">
        <f>(Q245+S245)*AI245</f>
        <v>42</v>
      </c>
      <c r="AM245" s="1">
        <f>VLOOKUP(X245,[26]ölçme_sistemleri!I:N,6,FALSE)</f>
        <v>3</v>
      </c>
      <c r="AN245" s="1">
        <v>2</v>
      </c>
      <c r="AO245" s="1">
        <f t="shared" si="166"/>
        <v>6</v>
      </c>
      <c r="AP245" s="1">
        <v>14</v>
      </c>
      <c r="AQ245" s="1">
        <f t="shared" si="167"/>
        <v>42</v>
      </c>
      <c r="AR245" s="1">
        <f t="shared" si="168"/>
        <v>111</v>
      </c>
      <c r="AS245" s="1">
        <f t="shared" si="169"/>
        <v>25</v>
      </c>
      <c r="AT245" s="1">
        <f t="shared" si="170"/>
        <v>4</v>
      </c>
      <c r="AU245" s="1">
        <f t="shared" si="171"/>
        <v>0</v>
      </c>
      <c r="AV245" s="1">
        <f t="shared" si="172"/>
        <v>0</v>
      </c>
      <c r="AW245" s="1">
        <f t="shared" si="173"/>
        <v>0</v>
      </c>
      <c r="AX245" s="1">
        <f t="shared" si="174"/>
        <v>0</v>
      </c>
      <c r="AY245" s="1">
        <f t="shared" si="175"/>
        <v>-21</v>
      </c>
      <c r="AZ245" s="1">
        <f t="shared" si="176"/>
        <v>0</v>
      </c>
      <c r="BA245" s="1">
        <f t="shared" si="177"/>
        <v>-42</v>
      </c>
      <c r="BB245" s="1">
        <f t="shared" si="178"/>
        <v>0</v>
      </c>
      <c r="BC245" s="1">
        <f t="shared" si="179"/>
        <v>-6</v>
      </c>
      <c r="BD245" s="1">
        <f t="shared" si="180"/>
        <v>0</v>
      </c>
      <c r="BE245" s="1" t="s">
        <v>65</v>
      </c>
      <c r="BF245" s="1">
        <f t="shared" si="183"/>
        <v>42</v>
      </c>
      <c r="BG245" s="1">
        <f t="shared" si="184"/>
        <v>42</v>
      </c>
      <c r="BH245" s="1">
        <f t="shared" si="185"/>
        <v>1</v>
      </c>
      <c r="BI245" s="1" t="e">
        <f>IF(BH245-#REF!=0,"DOĞRU","YANLIŞ")</f>
        <v>#REF!</v>
      </c>
      <c r="BJ245" s="1" t="e">
        <f>#REF!-BH245</f>
        <v>#REF!</v>
      </c>
      <c r="BK245" s="1">
        <v>0</v>
      </c>
      <c r="BM245" s="1">
        <v>0</v>
      </c>
      <c r="BO245" s="1">
        <v>6</v>
      </c>
      <c r="BT245" s="8">
        <f t="shared" si="186"/>
        <v>0</v>
      </c>
      <c r="BU245" s="9"/>
      <c r="BV245" s="10"/>
      <c r="BW245" s="11"/>
      <c r="BX245" s="11"/>
      <c r="BY245" s="11"/>
      <c r="BZ245" s="11"/>
      <c r="CA245" s="11"/>
      <c r="CB245" s="12"/>
      <c r="CC245" s="13"/>
      <c r="CD245" s="14"/>
      <c r="CL245" s="11"/>
      <c r="CM245" s="11"/>
      <c r="CN245" s="11"/>
      <c r="CO245" s="11"/>
      <c r="CP245" s="11"/>
      <c r="CQ245" s="49"/>
      <c r="CR245" s="46"/>
      <c r="CS245" s="49"/>
      <c r="CT245" s="48"/>
      <c r="CU245" s="49"/>
      <c r="CV245" s="48"/>
      <c r="CW245" s="49"/>
      <c r="CX245" s="49"/>
    </row>
    <row r="246" spans="1:103" hidden="1" x14ac:dyDescent="0.25">
      <c r="A246" s="1" t="s">
        <v>258</v>
      </c>
      <c r="B246" s="1" t="s">
        <v>259</v>
      </c>
      <c r="C246" s="1" t="s">
        <v>259</v>
      </c>
      <c r="D246" s="2" t="s">
        <v>63</v>
      </c>
      <c r="E246" s="2" t="s">
        <v>63</v>
      </c>
      <c r="F246" s="3" t="e">
        <f>IF(BE246="S",
IF(#REF!+BM246=2018,
IF(#REF!=1,"18-19/1",
IF(#REF!=2,"18-19/2",
IF(#REF!=3,"19-20/1",
IF(#REF!=4,"19-20/2",
IF(#REF!=5,"20-21/1",
IF(#REF!=6,"20-21/2",
IF(#REF!=7,"21-22/1",
IF(#REF!=8,"21-22/2","Hata1")))))))),
IF(#REF!+BM246=2019,
IF(#REF!=1,"19-20/1",
IF(#REF!=2,"19-20/2",
IF(#REF!=3,"20-21/1",
IF(#REF!=4,"20-21/2",
IF(#REF!=5,"21-22/1",
IF(#REF!=6,"21-22/2",
IF(#REF!=7,"22-23/1",
IF(#REF!=8,"22-23/2","Hata2")))))))),
IF(#REF!+BM246=2020,
IF(#REF!=1,"20-21/1",
IF(#REF!=2,"20-21/2",
IF(#REF!=3,"21-22/1",
IF(#REF!=4,"21-22/2",
IF(#REF!=5,"22-23/1",
IF(#REF!=6,"22-23/2",
IF(#REF!=7,"23-24/1",
IF(#REF!=8,"23-24/2","Hata3")))))))),
IF(#REF!+BM246=2021,
IF(#REF!=1,"21-22/1",
IF(#REF!=2,"21-22/2",
IF(#REF!=3,"22-23/1",
IF(#REF!=4,"22-23/2",
IF(#REF!=5,"23-24/1",
IF(#REF!=6,"23-24/2",
IF(#REF!=7,"24-25/1",
IF(#REF!=8,"24-25/2","Hata4")))))))),
IF(#REF!+BM246=2022,
IF(#REF!=1,"22-23/1",
IF(#REF!=2,"22-23/2",
IF(#REF!=3,"23-24/1",
IF(#REF!=4,"23-24/2",
IF(#REF!=5,"24-25/1",
IF(#REF!=6,"24-25/2",
IF(#REF!=7,"25-26/1",
IF(#REF!=8,"25-26/2","Hata5")))))))),
IF(#REF!+BM246=2023,
IF(#REF!=1,"23-24/1",
IF(#REF!=2,"23-24/2",
IF(#REF!=3,"24-25/1",
IF(#REF!=4,"24-25/2",
IF(#REF!=5,"25-26/1",
IF(#REF!=6,"25-26/2",
IF(#REF!=7,"26-27/1",
IF(#REF!=8,"26-27/2","Hata6")))))))),
)))))),
IF(BE246="T",
IF(#REF!+BM246=2018,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6" s="1" t="s">
        <v>145</v>
      </c>
      <c r="J246" s="1">
        <v>4234778</v>
      </c>
      <c r="L246" s="2">
        <v>2829</v>
      </c>
      <c r="N246" s="2">
        <v>4</v>
      </c>
      <c r="O246" s="6">
        <f t="shared" si="181"/>
        <v>3</v>
      </c>
      <c r="P246" s="2">
        <f t="shared" si="182"/>
        <v>3</v>
      </c>
      <c r="Q246" s="2">
        <v>3</v>
      </c>
      <c r="R246" s="2">
        <v>0</v>
      </c>
      <c r="S246" s="2">
        <v>0</v>
      </c>
      <c r="X246" s="3">
        <v>2</v>
      </c>
      <c r="Y246" s="1">
        <f>VLOOKUP($X246,[27]ölçme_sistemleri!I:L,2,FALSE)</f>
        <v>0</v>
      </c>
      <c r="Z246" s="1">
        <f>VLOOKUP($X246,[27]ölçme_sistemleri!I:L,3,FALSE)</f>
        <v>2</v>
      </c>
      <c r="AA246" s="1">
        <f>VLOOKUP($X246,[27]ölçme_sistemleri!I:L,4,FALSE)</f>
        <v>1</v>
      </c>
      <c r="AB246" s="1">
        <f>$O246*[27]ölçme_sistemleri!J$13</f>
        <v>3</v>
      </c>
      <c r="AC246" s="1">
        <f>$O246*[27]ölçme_sistemleri!K$13</f>
        <v>6</v>
      </c>
      <c r="AD246" s="1">
        <f>$O246*[27]ölçme_sistemleri!L$13</f>
        <v>9</v>
      </c>
      <c r="AE246" s="1">
        <f t="shared" si="161"/>
        <v>0</v>
      </c>
      <c r="AF246" s="1">
        <f t="shared" si="162"/>
        <v>12</v>
      </c>
      <c r="AG246" s="1">
        <f t="shared" si="163"/>
        <v>9</v>
      </c>
      <c r="AH246" s="1">
        <f t="shared" si="164"/>
        <v>21</v>
      </c>
      <c r="AI246" s="1">
        <v>14</v>
      </c>
      <c r="AJ246" s="1">
        <f>VLOOKUP(X246,[27]ölçme_sistemleri!I:M,5,FALSE)</f>
        <v>2</v>
      </c>
      <c r="AK246" s="1">
        <f t="shared" si="165"/>
        <v>294</v>
      </c>
      <c r="AL246" s="1">
        <f>AI246*3</f>
        <v>42</v>
      </c>
      <c r="AM246" s="1">
        <f>VLOOKUP(X246,[27]ölçme_sistemleri!I:N,6,FALSE)</f>
        <v>3</v>
      </c>
      <c r="AN246" s="1">
        <v>2</v>
      </c>
      <c r="AO246" s="1">
        <f t="shared" si="166"/>
        <v>6</v>
      </c>
      <c r="AP246" s="1">
        <v>14</v>
      </c>
      <c r="AQ246" s="1">
        <f t="shared" si="167"/>
        <v>42</v>
      </c>
      <c r="AR246" s="1">
        <f t="shared" si="168"/>
        <v>111</v>
      </c>
      <c r="AS246" s="1">
        <f t="shared" si="169"/>
        <v>25</v>
      </c>
      <c r="AT246" s="1">
        <f t="shared" si="170"/>
        <v>4</v>
      </c>
      <c r="AU246" s="1">
        <f t="shared" si="171"/>
        <v>0</v>
      </c>
      <c r="AV246" s="1">
        <f t="shared" si="172"/>
        <v>0</v>
      </c>
      <c r="AW246" s="1">
        <f t="shared" si="173"/>
        <v>0</v>
      </c>
      <c r="AX246" s="1">
        <f t="shared" si="174"/>
        <v>0</v>
      </c>
      <c r="AY246" s="1">
        <f t="shared" si="175"/>
        <v>-21</v>
      </c>
      <c r="AZ246" s="1">
        <f t="shared" si="176"/>
        <v>0</v>
      </c>
      <c r="BA246" s="1">
        <f t="shared" si="177"/>
        <v>-42</v>
      </c>
      <c r="BB246" s="1">
        <f t="shared" si="178"/>
        <v>0</v>
      </c>
      <c r="BC246" s="1">
        <f t="shared" si="179"/>
        <v>-6</v>
      </c>
      <c r="BD246" s="1">
        <f t="shared" si="180"/>
        <v>0</v>
      </c>
      <c r="BE246" s="1" t="s">
        <v>65</v>
      </c>
      <c r="BF246" s="1">
        <f t="shared" si="183"/>
        <v>42</v>
      </c>
      <c r="BG246" s="1">
        <f t="shared" si="184"/>
        <v>42</v>
      </c>
      <c r="BH246" s="1">
        <f t="shared" si="185"/>
        <v>1</v>
      </c>
      <c r="BI246" s="1" t="e">
        <f>IF(BH246-#REF!=0,"DOĞRU","YANLIŞ")</f>
        <v>#REF!</v>
      </c>
      <c r="BJ246" s="1" t="e">
        <f>#REF!-BH246</f>
        <v>#REF!</v>
      </c>
      <c r="BK246" s="1">
        <v>0</v>
      </c>
      <c r="BM246" s="1">
        <v>0</v>
      </c>
      <c r="BO246" s="1">
        <v>4</v>
      </c>
      <c r="BT246" s="8">
        <f t="shared" si="186"/>
        <v>0</v>
      </c>
      <c r="BU246" s="9"/>
      <c r="BV246" s="10"/>
      <c r="BW246" s="11"/>
      <c r="BX246" s="11"/>
      <c r="BY246" s="11"/>
      <c r="BZ246" s="11"/>
      <c r="CA246" s="11"/>
      <c r="CB246" s="12"/>
      <c r="CC246" s="13"/>
      <c r="CD246" s="14"/>
      <c r="CL246" s="11"/>
      <c r="CM246" s="11"/>
      <c r="CN246" s="11"/>
      <c r="CO246" s="11"/>
      <c r="CP246" s="11"/>
      <c r="CQ246" s="46"/>
      <c r="CR246" s="46"/>
      <c r="CS246" s="48"/>
      <c r="CT246" s="48"/>
      <c r="CU246" s="48"/>
      <c r="CV246" s="48"/>
      <c r="CW246" s="49"/>
      <c r="CX246" s="49"/>
    </row>
    <row r="247" spans="1:103" hidden="1" x14ac:dyDescent="0.25">
      <c r="A247" s="1" t="s">
        <v>266</v>
      </c>
      <c r="B247" s="1" t="s">
        <v>267</v>
      </c>
      <c r="C247" s="1" t="s">
        <v>267</v>
      </c>
      <c r="D247" s="2" t="s">
        <v>63</v>
      </c>
      <c r="E247" s="2" t="s">
        <v>63</v>
      </c>
      <c r="F247" s="3" t="e">
        <f>IF(BE247="S",
IF(#REF!+BM247=2018,
IF(#REF!=1,"18-19/1",
IF(#REF!=2,"18-19/2",
IF(#REF!=3,"19-20/1",
IF(#REF!=4,"19-20/2",
IF(#REF!=5,"20-21/1",
IF(#REF!=6,"20-21/2",
IF(#REF!=7,"21-22/1",
IF(#REF!=8,"21-22/2","Hata1")))))))),
IF(#REF!+BM247=2019,
IF(#REF!=1,"19-20/1",
IF(#REF!=2,"19-20/2",
IF(#REF!=3,"20-21/1",
IF(#REF!=4,"20-21/2",
IF(#REF!=5,"21-22/1",
IF(#REF!=6,"21-22/2",
IF(#REF!=7,"22-23/1",
IF(#REF!=8,"22-23/2","Hata2")))))))),
IF(#REF!+BM247=2020,
IF(#REF!=1,"20-21/1",
IF(#REF!=2,"20-21/2",
IF(#REF!=3,"21-22/1",
IF(#REF!=4,"21-22/2",
IF(#REF!=5,"22-23/1",
IF(#REF!=6,"22-23/2",
IF(#REF!=7,"23-24/1",
IF(#REF!=8,"23-24/2","Hata3")))))))),
IF(#REF!+BM247=2021,
IF(#REF!=1,"21-22/1",
IF(#REF!=2,"21-22/2",
IF(#REF!=3,"22-23/1",
IF(#REF!=4,"22-23/2",
IF(#REF!=5,"23-24/1",
IF(#REF!=6,"23-24/2",
IF(#REF!=7,"24-25/1",
IF(#REF!=8,"24-25/2","Hata4")))))))),
IF(#REF!+BM247=2022,
IF(#REF!=1,"22-23/1",
IF(#REF!=2,"22-23/2",
IF(#REF!=3,"23-24/1",
IF(#REF!=4,"23-24/2",
IF(#REF!=5,"24-25/1",
IF(#REF!=6,"24-25/2",
IF(#REF!=7,"25-26/1",
IF(#REF!=8,"25-26/2","Hata5")))))))),
IF(#REF!+BM247=2023,
IF(#REF!=1,"23-24/1",
IF(#REF!=2,"23-24/2",
IF(#REF!=3,"24-25/1",
IF(#REF!=4,"24-25/2",
IF(#REF!=5,"25-26/1",
IF(#REF!=6,"25-26/2",
IF(#REF!=7,"26-27/1",
IF(#REF!=8,"26-27/2","Hata6")))))))),
)))))),
IF(BE247="T",
IF(#REF!+BM247=2018,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7" s="1" t="s">
        <v>145</v>
      </c>
      <c r="J247" s="1">
        <v>4234788</v>
      </c>
      <c r="L247" s="2">
        <v>2994</v>
      </c>
      <c r="N247" s="2">
        <v>7</v>
      </c>
      <c r="O247" s="6">
        <f t="shared" si="181"/>
        <v>3</v>
      </c>
      <c r="P247" s="2">
        <f t="shared" si="182"/>
        <v>3</v>
      </c>
      <c r="Q247" s="2">
        <v>3</v>
      </c>
      <c r="R247" s="2">
        <v>0</v>
      </c>
      <c r="S247" s="2">
        <v>0</v>
      </c>
      <c r="X247" s="3">
        <v>3</v>
      </c>
      <c r="Y247" s="1">
        <f>VLOOKUP($X247,[27]ölçme_sistemleri!I:L,2,FALSE)</f>
        <v>2</v>
      </c>
      <c r="Z247" s="1">
        <f>VLOOKUP($X247,[27]ölçme_sistemleri!I:L,3,FALSE)</f>
        <v>1</v>
      </c>
      <c r="AA247" s="1">
        <f>VLOOKUP($X247,[27]ölçme_sistemleri!I:L,4,FALSE)</f>
        <v>1</v>
      </c>
      <c r="AB247" s="1">
        <f>$O247*[27]ölçme_sistemleri!J$13</f>
        <v>3</v>
      </c>
      <c r="AC247" s="1">
        <f>$O247*[27]ölçme_sistemleri!K$13</f>
        <v>6</v>
      </c>
      <c r="AD247" s="1">
        <f>$O247*[27]ölçme_sistemleri!L$13</f>
        <v>9</v>
      </c>
      <c r="AE247" s="1">
        <f t="shared" si="161"/>
        <v>6</v>
      </c>
      <c r="AF247" s="1">
        <f t="shared" si="162"/>
        <v>6</v>
      </c>
      <c r="AG247" s="1">
        <f t="shared" si="163"/>
        <v>9</v>
      </c>
      <c r="AH247" s="1">
        <f t="shared" si="164"/>
        <v>21</v>
      </c>
      <c r="AI247" s="1">
        <v>14</v>
      </c>
      <c r="AJ247" s="1">
        <f>VLOOKUP(X247,[27]ölçme_sistemleri!I:M,5,FALSE)</f>
        <v>3</v>
      </c>
      <c r="AK247" s="1">
        <f t="shared" si="165"/>
        <v>294</v>
      </c>
      <c r="AL247" s="1">
        <f>AI247*7</f>
        <v>98</v>
      </c>
      <c r="AM247" s="1">
        <f>VLOOKUP(X247,[27]ölçme_sistemleri!I:N,6,FALSE)</f>
        <v>4</v>
      </c>
      <c r="AN247" s="1">
        <v>2</v>
      </c>
      <c r="AO247" s="1">
        <f t="shared" si="166"/>
        <v>8</v>
      </c>
      <c r="AP247" s="1">
        <v>14</v>
      </c>
      <c r="AQ247" s="1">
        <f t="shared" si="167"/>
        <v>42</v>
      </c>
      <c r="AR247" s="1">
        <f t="shared" si="168"/>
        <v>169</v>
      </c>
      <c r="AS247" s="1">
        <f t="shared" si="169"/>
        <v>25</v>
      </c>
      <c r="AT247" s="1">
        <f t="shared" si="170"/>
        <v>7</v>
      </c>
      <c r="AU247" s="1">
        <f t="shared" si="171"/>
        <v>0</v>
      </c>
      <c r="AV247" s="1">
        <f t="shared" si="172"/>
        <v>0</v>
      </c>
      <c r="AW247" s="1">
        <f t="shared" si="173"/>
        <v>0</v>
      </c>
      <c r="AX247" s="1">
        <f t="shared" si="174"/>
        <v>0</v>
      </c>
      <c r="AY247" s="1">
        <f t="shared" si="175"/>
        <v>-21</v>
      </c>
      <c r="AZ247" s="1">
        <f t="shared" si="176"/>
        <v>0</v>
      </c>
      <c r="BA247" s="1">
        <f t="shared" si="177"/>
        <v>-98</v>
      </c>
      <c r="BB247" s="1">
        <f t="shared" si="178"/>
        <v>0</v>
      </c>
      <c r="BC247" s="1">
        <f t="shared" si="179"/>
        <v>-8</v>
      </c>
      <c r="BD247" s="1">
        <f t="shared" si="180"/>
        <v>0</v>
      </c>
      <c r="BE247" s="1" t="s">
        <v>65</v>
      </c>
      <c r="BF247" s="1">
        <f t="shared" si="183"/>
        <v>42</v>
      </c>
      <c r="BG247" s="1">
        <f t="shared" si="184"/>
        <v>42</v>
      </c>
      <c r="BH247" s="1">
        <f t="shared" si="185"/>
        <v>1</v>
      </c>
      <c r="BI247" s="1" t="e">
        <f>IF(BH247-#REF!=0,"DOĞRU","YANLIŞ")</f>
        <v>#REF!</v>
      </c>
      <c r="BJ247" s="1" t="e">
        <f>#REF!-BH247</f>
        <v>#REF!</v>
      </c>
      <c r="BK247" s="1">
        <v>0</v>
      </c>
      <c r="BM247" s="1">
        <v>0</v>
      </c>
      <c r="BO247" s="1">
        <v>4</v>
      </c>
      <c r="BT247" s="8">
        <f t="shared" si="186"/>
        <v>0</v>
      </c>
      <c r="BU247" s="9"/>
      <c r="BV247" s="10"/>
      <c r="BW247" s="11"/>
      <c r="BX247" s="11"/>
      <c r="BY247" s="11"/>
      <c r="BZ247" s="11"/>
      <c r="CA247" s="11"/>
      <c r="CB247" s="12"/>
      <c r="CC247" s="13"/>
      <c r="CD247" s="14"/>
      <c r="CL247" s="11"/>
      <c r="CM247" s="11"/>
      <c r="CN247" s="11"/>
      <c r="CO247" s="11"/>
      <c r="CP247" s="11"/>
      <c r="CQ247" s="54"/>
      <c r="CR247" s="46"/>
      <c r="CS247" s="48"/>
      <c r="CT247" s="48"/>
      <c r="CU247" s="48"/>
      <c r="CV247" s="48"/>
      <c r="CW247" s="49"/>
      <c r="CX247" s="49"/>
    </row>
    <row r="248" spans="1:103" hidden="1" x14ac:dyDescent="0.25">
      <c r="A248" s="1" t="s">
        <v>281</v>
      </c>
      <c r="B248" s="1" t="s">
        <v>282</v>
      </c>
      <c r="C248" s="1" t="s">
        <v>282</v>
      </c>
      <c r="D248" s="2" t="s">
        <v>63</v>
      </c>
      <c r="E248" s="2" t="s">
        <v>63</v>
      </c>
      <c r="F248" s="3" t="e">
        <f>IF(BE248="S",
IF(#REF!+BM248=2018,
IF(#REF!=1,"18-19/1",
IF(#REF!=2,"18-19/2",
IF(#REF!=3,"19-20/1",
IF(#REF!=4,"19-20/2",
IF(#REF!=5,"20-21/1",
IF(#REF!=6,"20-21/2",
IF(#REF!=7,"21-22/1",
IF(#REF!=8,"21-22/2","Hata1")))))))),
IF(#REF!+BM248=2019,
IF(#REF!=1,"19-20/1",
IF(#REF!=2,"19-20/2",
IF(#REF!=3,"20-21/1",
IF(#REF!=4,"20-21/2",
IF(#REF!=5,"21-22/1",
IF(#REF!=6,"21-22/2",
IF(#REF!=7,"22-23/1",
IF(#REF!=8,"22-23/2","Hata2")))))))),
IF(#REF!+BM248=2020,
IF(#REF!=1,"20-21/1",
IF(#REF!=2,"20-21/2",
IF(#REF!=3,"21-22/1",
IF(#REF!=4,"21-22/2",
IF(#REF!=5,"22-23/1",
IF(#REF!=6,"22-23/2",
IF(#REF!=7,"23-24/1",
IF(#REF!=8,"23-24/2","Hata3")))))))),
IF(#REF!+BM248=2021,
IF(#REF!=1,"21-22/1",
IF(#REF!=2,"21-22/2",
IF(#REF!=3,"22-23/1",
IF(#REF!=4,"22-23/2",
IF(#REF!=5,"23-24/1",
IF(#REF!=6,"23-24/2",
IF(#REF!=7,"24-25/1",
IF(#REF!=8,"24-25/2","Hata4")))))))),
IF(#REF!+BM248=2022,
IF(#REF!=1,"22-23/1",
IF(#REF!=2,"22-23/2",
IF(#REF!=3,"23-24/1",
IF(#REF!=4,"23-24/2",
IF(#REF!=5,"24-25/1",
IF(#REF!=6,"24-25/2",
IF(#REF!=7,"25-26/1",
IF(#REF!=8,"25-26/2","Hata5")))))))),
IF(#REF!+BM248=2023,
IF(#REF!=1,"23-24/1",
IF(#REF!=2,"23-24/2",
IF(#REF!=3,"24-25/1",
IF(#REF!=4,"24-25/2",
IF(#REF!=5,"25-26/1",
IF(#REF!=6,"25-26/2",
IF(#REF!=7,"26-27/1",
IF(#REF!=8,"26-27/2","Hata6")))))))),
)))))),
IF(BE248="T",
IF(#REF!+BM248=2018,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8" s="1" t="s">
        <v>158</v>
      </c>
      <c r="J248" s="1">
        <v>4234780</v>
      </c>
      <c r="N248" s="2">
        <v>4</v>
      </c>
      <c r="O248" s="6">
        <f t="shared" si="181"/>
        <v>3</v>
      </c>
      <c r="P248" s="2">
        <f t="shared" si="182"/>
        <v>3</v>
      </c>
      <c r="Q248" s="2">
        <v>3</v>
      </c>
      <c r="R248" s="2">
        <v>0</v>
      </c>
      <c r="S248" s="2">
        <v>0</v>
      </c>
      <c r="X248" s="3">
        <v>2</v>
      </c>
      <c r="Y248" s="1">
        <f>VLOOKUP($X248,[31]ölçme_sistemleri!I:L,2,FALSE)</f>
        <v>0</v>
      </c>
      <c r="Z248" s="1">
        <f>VLOOKUP($X248,[31]ölçme_sistemleri!I:L,3,FALSE)</f>
        <v>2</v>
      </c>
      <c r="AA248" s="1">
        <f>VLOOKUP($X248,[31]ölçme_sistemleri!I:L,4,FALSE)</f>
        <v>1</v>
      </c>
      <c r="AB248" s="1">
        <f>$O248*[31]ölçme_sistemleri!J$13</f>
        <v>3</v>
      </c>
      <c r="AC248" s="1">
        <f>$O248*[31]ölçme_sistemleri!K$13</f>
        <v>6</v>
      </c>
      <c r="AD248" s="1">
        <f>$O248*[31]ölçme_sistemleri!L$13</f>
        <v>9</v>
      </c>
      <c r="AE248" s="1">
        <f t="shared" si="161"/>
        <v>0</v>
      </c>
      <c r="AF248" s="1">
        <f t="shared" si="162"/>
        <v>12</v>
      </c>
      <c r="AG248" s="1">
        <f t="shared" si="163"/>
        <v>9</v>
      </c>
      <c r="AH248" s="1">
        <f t="shared" si="164"/>
        <v>21</v>
      </c>
      <c r="AI248" s="1">
        <v>14</v>
      </c>
      <c r="AJ248" s="1">
        <f>VLOOKUP(X248,[31]ölçme_sistemleri!I:M,5,FALSE)</f>
        <v>2</v>
      </c>
      <c r="AK248" s="1">
        <f t="shared" si="165"/>
        <v>294</v>
      </c>
      <c r="AL248" s="1">
        <f>(Q248+S248)*AI248</f>
        <v>42</v>
      </c>
      <c r="AM248" s="1">
        <f>VLOOKUP(X248,[31]ölçme_sistemleri!I:N,6,FALSE)</f>
        <v>3</v>
      </c>
      <c r="AN248" s="1">
        <v>2</v>
      </c>
      <c r="AO248" s="1">
        <f t="shared" si="166"/>
        <v>6</v>
      </c>
      <c r="AP248" s="1">
        <v>14</v>
      </c>
      <c r="AQ248" s="1">
        <f t="shared" si="167"/>
        <v>42</v>
      </c>
      <c r="AR248" s="1">
        <f t="shared" si="168"/>
        <v>111</v>
      </c>
      <c r="AS248" s="1">
        <f t="shared" si="169"/>
        <v>25</v>
      </c>
      <c r="AT248" s="1">
        <f t="shared" si="170"/>
        <v>4</v>
      </c>
      <c r="AU248" s="1">
        <f t="shared" si="171"/>
        <v>0</v>
      </c>
      <c r="AV248" s="1">
        <f t="shared" si="172"/>
        <v>0</v>
      </c>
      <c r="AW248" s="1">
        <f t="shared" si="173"/>
        <v>0</v>
      </c>
      <c r="AX248" s="1">
        <f t="shared" si="174"/>
        <v>0</v>
      </c>
      <c r="AY248" s="1">
        <f t="shared" si="175"/>
        <v>-21</v>
      </c>
      <c r="AZ248" s="1">
        <f t="shared" si="176"/>
        <v>0</v>
      </c>
      <c r="BA248" s="1">
        <f t="shared" si="177"/>
        <v>-42</v>
      </c>
      <c r="BB248" s="1">
        <f t="shared" si="178"/>
        <v>0</v>
      </c>
      <c r="BC248" s="1">
        <f t="shared" si="179"/>
        <v>-6</v>
      </c>
      <c r="BD248" s="1">
        <f t="shared" si="180"/>
        <v>0</v>
      </c>
      <c r="BE248" s="1" t="s">
        <v>65</v>
      </c>
      <c r="BF248" s="1">
        <f t="shared" si="183"/>
        <v>42</v>
      </c>
      <c r="BG248" s="1">
        <f t="shared" si="184"/>
        <v>42</v>
      </c>
      <c r="BH248" s="1">
        <f t="shared" si="185"/>
        <v>1</v>
      </c>
      <c r="BI248" s="1" t="e">
        <f>IF(BH248-#REF!=0,"DOĞRU","YANLIŞ")</f>
        <v>#REF!</v>
      </c>
      <c r="BJ248" s="1" t="e">
        <f>#REF!-BH248</f>
        <v>#REF!</v>
      </c>
      <c r="BK248" s="1">
        <v>1</v>
      </c>
      <c r="BM248" s="1">
        <v>0</v>
      </c>
      <c r="BO248" s="1">
        <v>2</v>
      </c>
      <c r="BT248" s="8">
        <f t="shared" si="186"/>
        <v>0</v>
      </c>
      <c r="BU248" s="9"/>
      <c r="BV248" s="10"/>
      <c r="BW248" s="11"/>
      <c r="BX248" s="11"/>
      <c r="BY248" s="11"/>
      <c r="BZ248" s="11"/>
      <c r="CA248" s="11"/>
      <c r="CB248" s="12"/>
      <c r="CC248" s="13"/>
      <c r="CD248" s="14"/>
      <c r="CL248" s="11"/>
      <c r="CM248" s="11"/>
      <c r="CN248" s="11"/>
      <c r="CO248" s="11"/>
      <c r="CP248" s="11"/>
      <c r="CQ248" s="46"/>
      <c r="CR248" s="46"/>
      <c r="CS248" s="48"/>
      <c r="CT248" s="48"/>
      <c r="CU248" s="48"/>
      <c r="CV248" s="48"/>
      <c r="CW248" s="49"/>
      <c r="CX248" s="49"/>
    </row>
    <row r="249" spans="1:103" hidden="1" x14ac:dyDescent="0.25">
      <c r="A249" s="1" t="s">
        <v>279</v>
      </c>
      <c r="B249" s="1" t="s">
        <v>280</v>
      </c>
      <c r="C249" s="1" t="s">
        <v>280</v>
      </c>
      <c r="D249" s="2" t="s">
        <v>63</v>
      </c>
      <c r="E249" s="2" t="s">
        <v>63</v>
      </c>
      <c r="F249" s="3" t="e">
        <f>IF(BE249="S",
IF(#REF!+BM249=2018,
IF(#REF!=1,"18-19/1",
IF(#REF!=2,"18-19/2",
IF(#REF!=3,"19-20/1",
IF(#REF!=4,"19-20/2",
IF(#REF!=5,"20-21/1",
IF(#REF!=6,"20-21/2",
IF(#REF!=7,"21-22/1",
IF(#REF!=8,"21-22/2","Hata1")))))))),
IF(#REF!+BM249=2019,
IF(#REF!=1,"19-20/1",
IF(#REF!=2,"19-20/2",
IF(#REF!=3,"20-21/1",
IF(#REF!=4,"20-21/2",
IF(#REF!=5,"21-22/1",
IF(#REF!=6,"21-22/2",
IF(#REF!=7,"22-23/1",
IF(#REF!=8,"22-23/2","Hata2")))))))),
IF(#REF!+BM249=2020,
IF(#REF!=1,"20-21/1",
IF(#REF!=2,"20-21/2",
IF(#REF!=3,"21-22/1",
IF(#REF!=4,"21-22/2",
IF(#REF!=5,"22-23/1",
IF(#REF!=6,"22-23/2",
IF(#REF!=7,"23-24/1",
IF(#REF!=8,"23-24/2","Hata3")))))))),
IF(#REF!+BM249=2021,
IF(#REF!=1,"21-22/1",
IF(#REF!=2,"21-22/2",
IF(#REF!=3,"22-23/1",
IF(#REF!=4,"22-23/2",
IF(#REF!=5,"23-24/1",
IF(#REF!=6,"23-24/2",
IF(#REF!=7,"24-25/1",
IF(#REF!=8,"24-25/2","Hata4")))))))),
IF(#REF!+BM249=2022,
IF(#REF!=1,"22-23/1",
IF(#REF!=2,"22-23/2",
IF(#REF!=3,"23-24/1",
IF(#REF!=4,"23-24/2",
IF(#REF!=5,"24-25/1",
IF(#REF!=6,"24-25/2",
IF(#REF!=7,"25-26/1",
IF(#REF!=8,"25-26/2","Hata5")))))))),
IF(#REF!+BM249=2023,
IF(#REF!=1,"23-24/1",
IF(#REF!=2,"23-24/2",
IF(#REF!=3,"24-25/1",
IF(#REF!=4,"24-25/2",
IF(#REF!=5,"25-26/1",
IF(#REF!=6,"25-26/2",
IF(#REF!=7,"26-27/1",
IF(#REF!=8,"26-27/2","Hata6")))))))),
)))))),
IF(BE249="T",
IF(#REF!+BM249=2018,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IF(#REF!+BM249=2019,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IF(#REF!+BM249=2020,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IF(#REF!+BM249=2021,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IF(#REF!+BM249=2022,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IF(#REF!+BM249=2023,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49" s="1" t="s">
        <v>158</v>
      </c>
      <c r="J249" s="1">
        <v>4234780</v>
      </c>
      <c r="N249" s="2">
        <v>4</v>
      </c>
      <c r="O249" s="6">
        <f t="shared" si="181"/>
        <v>3</v>
      </c>
      <c r="P249" s="2">
        <f t="shared" si="182"/>
        <v>3</v>
      </c>
      <c r="Q249" s="2">
        <v>3</v>
      </c>
      <c r="R249" s="2">
        <v>0</v>
      </c>
      <c r="S249" s="2">
        <v>0</v>
      </c>
      <c r="X249" s="3">
        <v>2</v>
      </c>
      <c r="Y249" s="1">
        <f>VLOOKUP($X249,[31]ölçme_sistemleri!I:L,2,FALSE)</f>
        <v>0</v>
      </c>
      <c r="Z249" s="1">
        <f>VLOOKUP($X249,[31]ölçme_sistemleri!I:L,3,FALSE)</f>
        <v>2</v>
      </c>
      <c r="AA249" s="1">
        <f>VLOOKUP($X249,[31]ölçme_sistemleri!I:L,4,FALSE)</f>
        <v>1</v>
      </c>
      <c r="AB249" s="1">
        <f>$O249*[31]ölçme_sistemleri!J$13</f>
        <v>3</v>
      </c>
      <c r="AC249" s="1">
        <f>$O249*[31]ölçme_sistemleri!K$13</f>
        <v>6</v>
      </c>
      <c r="AD249" s="1">
        <f>$O249*[31]ölçme_sistemleri!L$13</f>
        <v>9</v>
      </c>
      <c r="AE249" s="1">
        <f t="shared" si="161"/>
        <v>0</v>
      </c>
      <c r="AF249" s="1">
        <f t="shared" si="162"/>
        <v>12</v>
      </c>
      <c r="AG249" s="1">
        <f t="shared" si="163"/>
        <v>9</v>
      </c>
      <c r="AH249" s="1">
        <f t="shared" si="164"/>
        <v>21</v>
      </c>
      <c r="AI249" s="1">
        <v>14</v>
      </c>
      <c r="AJ249" s="1">
        <f>VLOOKUP(X249,[31]ölçme_sistemleri!I:M,5,FALSE)</f>
        <v>2</v>
      </c>
      <c r="AK249" s="1">
        <f t="shared" si="165"/>
        <v>294</v>
      </c>
      <c r="AL249" s="1">
        <f>(Q249+S249)*AI249</f>
        <v>42</v>
      </c>
      <c r="AM249" s="1">
        <f>VLOOKUP(X249,[31]ölçme_sistemleri!I:N,6,FALSE)</f>
        <v>3</v>
      </c>
      <c r="AN249" s="1">
        <v>2</v>
      </c>
      <c r="AO249" s="1">
        <f t="shared" si="166"/>
        <v>6</v>
      </c>
      <c r="AP249" s="1">
        <v>14</v>
      </c>
      <c r="AQ249" s="1">
        <f t="shared" si="167"/>
        <v>42</v>
      </c>
      <c r="AR249" s="1">
        <f t="shared" si="168"/>
        <v>111</v>
      </c>
      <c r="AS249" s="1">
        <f t="shared" si="169"/>
        <v>25</v>
      </c>
      <c r="AT249" s="1">
        <f t="shared" si="170"/>
        <v>4</v>
      </c>
      <c r="AU249" s="1">
        <f t="shared" si="171"/>
        <v>0</v>
      </c>
      <c r="AV249" s="1">
        <f t="shared" si="172"/>
        <v>0</v>
      </c>
      <c r="AW249" s="1">
        <f t="shared" si="173"/>
        <v>0</v>
      </c>
      <c r="AX249" s="1">
        <f t="shared" si="174"/>
        <v>0</v>
      </c>
      <c r="AY249" s="1">
        <f t="shared" si="175"/>
        <v>-21</v>
      </c>
      <c r="AZ249" s="1">
        <f t="shared" si="176"/>
        <v>0</v>
      </c>
      <c r="BA249" s="1">
        <f t="shared" si="177"/>
        <v>-42</v>
      </c>
      <c r="BB249" s="1">
        <f t="shared" si="178"/>
        <v>0</v>
      </c>
      <c r="BC249" s="1">
        <f t="shared" si="179"/>
        <v>-6</v>
      </c>
      <c r="BD249" s="1">
        <f t="shared" si="180"/>
        <v>0</v>
      </c>
      <c r="BE249" s="1" t="s">
        <v>65</v>
      </c>
      <c r="BF249" s="1">
        <f t="shared" si="183"/>
        <v>42</v>
      </c>
      <c r="BG249" s="1">
        <f t="shared" si="184"/>
        <v>42</v>
      </c>
      <c r="BH249" s="1">
        <f t="shared" si="185"/>
        <v>1</v>
      </c>
      <c r="BI249" s="1" t="e">
        <f>IF(BH249-#REF!=0,"DOĞRU","YANLIŞ")</f>
        <v>#REF!</v>
      </c>
      <c r="BJ249" s="1" t="e">
        <f>#REF!-BH249</f>
        <v>#REF!</v>
      </c>
      <c r="BK249" s="1">
        <v>1</v>
      </c>
      <c r="BM249" s="1">
        <v>0</v>
      </c>
      <c r="BO249" s="1">
        <v>4</v>
      </c>
      <c r="BT249" s="8">
        <f t="shared" si="186"/>
        <v>0</v>
      </c>
      <c r="BU249" s="9"/>
      <c r="BV249" s="10"/>
      <c r="BW249" s="11"/>
      <c r="BX249" s="11"/>
      <c r="BY249" s="11"/>
      <c r="BZ249" s="11"/>
      <c r="CA249" s="11"/>
      <c r="CB249" s="12"/>
      <c r="CC249" s="13"/>
      <c r="CD249" s="14"/>
      <c r="CL249" s="11"/>
      <c r="CM249" s="11"/>
      <c r="CN249" s="11"/>
      <c r="CO249" s="11"/>
      <c r="CP249" s="11"/>
      <c r="CQ249" s="54"/>
      <c r="CR249" s="46"/>
      <c r="CS249" s="54"/>
      <c r="CT249" s="48"/>
      <c r="CU249" s="48"/>
      <c r="CV249" s="48"/>
      <c r="CW249" s="49"/>
      <c r="CX249" s="49"/>
    </row>
    <row r="250" spans="1:103" hidden="1" x14ac:dyDescent="0.25">
      <c r="A250" s="1" t="s">
        <v>97</v>
      </c>
      <c r="B250" s="1" t="s">
        <v>98</v>
      </c>
      <c r="C250" s="1" t="s">
        <v>98</v>
      </c>
      <c r="D250" s="2" t="s">
        <v>63</v>
      </c>
      <c r="E250" s="2" t="s">
        <v>63</v>
      </c>
      <c r="F250" s="3" t="e">
        <f>IF(BE250="S",
IF(#REF!+BM250=2018,
IF(#REF!=1,"18-19/1",
IF(#REF!=2,"18-19/2",
IF(#REF!=3,"19-20/1",
IF(#REF!=4,"19-20/2",
IF(#REF!=5,"20-21/1",
IF(#REF!=6,"20-21/2",
IF(#REF!=7,"21-22/1",
IF(#REF!=8,"21-22/2","Hata1")))))))),
IF(#REF!+BM250=2019,
IF(#REF!=1,"19-20/1",
IF(#REF!=2,"19-20/2",
IF(#REF!=3,"20-21/1",
IF(#REF!=4,"20-21/2",
IF(#REF!=5,"21-22/1",
IF(#REF!=6,"21-22/2",
IF(#REF!=7,"22-23/1",
IF(#REF!=8,"22-23/2","Hata2")))))))),
IF(#REF!+BM250=2020,
IF(#REF!=1,"20-21/1",
IF(#REF!=2,"20-21/2",
IF(#REF!=3,"21-22/1",
IF(#REF!=4,"21-22/2",
IF(#REF!=5,"22-23/1",
IF(#REF!=6,"22-23/2",
IF(#REF!=7,"23-24/1",
IF(#REF!=8,"23-24/2","Hata3")))))))),
IF(#REF!+BM250=2021,
IF(#REF!=1,"21-22/1",
IF(#REF!=2,"21-22/2",
IF(#REF!=3,"22-23/1",
IF(#REF!=4,"22-23/2",
IF(#REF!=5,"23-24/1",
IF(#REF!=6,"23-24/2",
IF(#REF!=7,"24-25/1",
IF(#REF!=8,"24-25/2","Hata4")))))))),
IF(#REF!+BM250=2022,
IF(#REF!=1,"22-23/1",
IF(#REF!=2,"22-23/2",
IF(#REF!=3,"23-24/1",
IF(#REF!=4,"23-24/2",
IF(#REF!=5,"24-25/1",
IF(#REF!=6,"24-25/2",
IF(#REF!=7,"25-26/1",
IF(#REF!=8,"25-26/2","Hata5")))))))),
IF(#REF!+BM250=2023,
IF(#REF!=1,"23-24/1",
IF(#REF!=2,"23-24/2",
IF(#REF!=3,"24-25/1",
IF(#REF!=4,"24-25/2",
IF(#REF!=5,"25-26/1",
IF(#REF!=6,"25-26/2",
IF(#REF!=7,"26-27/1",
IF(#REF!=8,"26-27/2","Hata6")))))))),
)))))),
IF(BE250="T",
IF(#REF!+BM250=2018,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0" s="7" t="s">
        <v>158</v>
      </c>
      <c r="J250" s="1">
        <v>4234780</v>
      </c>
      <c r="L250" s="2">
        <v>196</v>
      </c>
      <c r="N250" s="2">
        <v>4</v>
      </c>
      <c r="O250" s="6">
        <f t="shared" si="181"/>
        <v>3</v>
      </c>
      <c r="P250" s="2">
        <f t="shared" si="182"/>
        <v>3</v>
      </c>
      <c r="Q250" s="2">
        <v>3</v>
      </c>
      <c r="R250" s="2">
        <v>0</v>
      </c>
      <c r="S250" s="2">
        <v>0</v>
      </c>
      <c r="X250" s="3">
        <v>2</v>
      </c>
      <c r="Y250" s="1">
        <f>VLOOKUP($X250,[32]ölçme_sistemleri!I:L,2,FALSE)</f>
        <v>0</v>
      </c>
      <c r="Z250" s="1">
        <f>VLOOKUP($X250,[32]ölçme_sistemleri!I:L,3,FALSE)</f>
        <v>2</v>
      </c>
      <c r="AA250" s="1">
        <f>VLOOKUP($X250,[32]ölçme_sistemleri!I:L,4,FALSE)</f>
        <v>1</v>
      </c>
      <c r="AB250" s="1">
        <f>$O250*[32]ölçme_sistemleri!J$13</f>
        <v>3</v>
      </c>
      <c r="AC250" s="1">
        <f>$O250*[32]ölçme_sistemleri!K$13</f>
        <v>6</v>
      </c>
      <c r="AD250" s="1">
        <f>$O250*[32]ölçme_sistemleri!L$13</f>
        <v>9</v>
      </c>
      <c r="AE250" s="1">
        <f t="shared" si="161"/>
        <v>0</v>
      </c>
      <c r="AF250" s="1">
        <f t="shared" si="162"/>
        <v>12</v>
      </c>
      <c r="AG250" s="1">
        <f t="shared" si="163"/>
        <v>9</v>
      </c>
      <c r="AH250" s="1">
        <f t="shared" si="164"/>
        <v>21</v>
      </c>
      <c r="AI250" s="1">
        <v>14</v>
      </c>
      <c r="AJ250" s="1">
        <f>VLOOKUP(X250,[32]ölçme_sistemleri!I:M,5,FALSE)</f>
        <v>2</v>
      </c>
      <c r="AK250" s="1">
        <f t="shared" si="165"/>
        <v>294</v>
      </c>
      <c r="AL250" s="1">
        <f>(Q250+S250)*AI250</f>
        <v>42</v>
      </c>
      <c r="AM250" s="1">
        <f>VLOOKUP(X250,[32]ölçme_sistemleri!I:N,6,FALSE)</f>
        <v>3</v>
      </c>
      <c r="AN250" s="1">
        <v>2</v>
      </c>
      <c r="AO250" s="1">
        <f t="shared" si="166"/>
        <v>6</v>
      </c>
      <c r="AP250" s="1">
        <v>14</v>
      </c>
      <c r="AQ250" s="1">
        <f t="shared" si="167"/>
        <v>42</v>
      </c>
      <c r="AR250" s="1">
        <f t="shared" si="168"/>
        <v>111</v>
      </c>
      <c r="AS250" s="1">
        <f>IF(BE250="s",25,30)</f>
        <v>25</v>
      </c>
      <c r="AT250" s="1">
        <f t="shared" si="170"/>
        <v>4</v>
      </c>
      <c r="AU250" s="1">
        <f t="shared" si="171"/>
        <v>0</v>
      </c>
      <c r="AV250" s="1">
        <f t="shared" si="172"/>
        <v>0</v>
      </c>
      <c r="AW250" s="1">
        <f t="shared" si="173"/>
        <v>0</v>
      </c>
      <c r="AX250" s="1">
        <f t="shared" si="174"/>
        <v>0</v>
      </c>
      <c r="AY250" s="1">
        <f t="shared" si="175"/>
        <v>-21</v>
      </c>
      <c r="AZ250" s="1">
        <f t="shared" si="176"/>
        <v>0</v>
      </c>
      <c r="BA250" s="1">
        <f t="shared" si="177"/>
        <v>-42</v>
      </c>
      <c r="BB250" s="1">
        <f t="shared" si="178"/>
        <v>0</v>
      </c>
      <c r="BC250" s="1">
        <f t="shared" si="179"/>
        <v>-6</v>
      </c>
      <c r="BD250" s="1">
        <f t="shared" si="180"/>
        <v>0</v>
      </c>
      <c r="BE250" s="1" t="s">
        <v>65</v>
      </c>
      <c r="BF250" s="1">
        <f t="shared" si="183"/>
        <v>42</v>
      </c>
      <c r="BG250" s="1">
        <f t="shared" si="184"/>
        <v>42</v>
      </c>
      <c r="BH250" s="1">
        <f t="shared" si="185"/>
        <v>1</v>
      </c>
      <c r="BI250" s="1" t="e">
        <f>IF(BH250-#REF!=0,"DOĞRU","YANLIŞ")</f>
        <v>#REF!</v>
      </c>
      <c r="BJ250" s="1" t="e">
        <f>#REF!-BH250</f>
        <v>#REF!</v>
      </c>
      <c r="BK250" s="1">
        <v>0</v>
      </c>
      <c r="BM250" s="1">
        <v>0</v>
      </c>
      <c r="BT250" s="8">
        <f t="shared" si="186"/>
        <v>0</v>
      </c>
      <c r="BU250" s="9"/>
      <c r="BV250" s="10"/>
      <c r="BW250" s="11"/>
      <c r="BX250" s="11"/>
      <c r="BY250" s="11"/>
      <c r="BZ250" s="11"/>
      <c r="CA250" s="11"/>
      <c r="CB250" s="12"/>
      <c r="CC250" s="13"/>
      <c r="CD250" s="14"/>
      <c r="CL250" s="11"/>
      <c r="CM250" s="11"/>
      <c r="CN250" s="11"/>
      <c r="CO250" s="11"/>
      <c r="CP250" s="11"/>
      <c r="CQ250" s="54"/>
      <c r="CR250" s="46"/>
      <c r="CS250" s="48"/>
      <c r="CT250" s="48"/>
      <c r="CU250" s="48"/>
      <c r="CV250" s="48"/>
      <c r="CW250" s="49"/>
      <c r="CX250" s="49"/>
    </row>
    <row r="251" spans="1:103" hidden="1" x14ac:dyDescent="0.25">
      <c r="A251" s="1" t="s">
        <v>244</v>
      </c>
      <c r="B251" s="1" t="s">
        <v>221</v>
      </c>
      <c r="C251" s="1" t="s">
        <v>221</v>
      </c>
      <c r="D251" s="2" t="s">
        <v>63</v>
      </c>
      <c r="E251" s="2" t="s">
        <v>63</v>
      </c>
      <c r="F251" s="3" t="e">
        <f>IF(BE251="S",
IF(#REF!+BM251=2018,
IF(#REF!=1,"18-19/1",
IF(#REF!=2,"18-19/2",
IF(#REF!=3,"19-20/1",
IF(#REF!=4,"19-20/2",
IF(#REF!=5,"20-21/1",
IF(#REF!=6,"20-21/2",
IF(#REF!=7,"21-22/1",
IF(#REF!=8,"21-22/2","Hata1")))))))),
IF(#REF!+BM251=2019,
IF(#REF!=1,"19-20/1",
IF(#REF!=2,"19-20/2",
IF(#REF!=3,"20-21/1",
IF(#REF!=4,"20-21/2",
IF(#REF!=5,"21-22/1",
IF(#REF!=6,"21-22/2",
IF(#REF!=7,"22-23/1",
IF(#REF!=8,"22-23/2","Hata2")))))))),
IF(#REF!+BM251=2020,
IF(#REF!=1,"20-21/1",
IF(#REF!=2,"20-21/2",
IF(#REF!=3,"21-22/1",
IF(#REF!=4,"21-22/2",
IF(#REF!=5,"22-23/1",
IF(#REF!=6,"22-23/2",
IF(#REF!=7,"23-24/1",
IF(#REF!=8,"23-24/2","Hata3")))))))),
IF(#REF!+BM251=2021,
IF(#REF!=1,"21-22/1",
IF(#REF!=2,"21-22/2",
IF(#REF!=3,"22-23/1",
IF(#REF!=4,"22-23/2",
IF(#REF!=5,"23-24/1",
IF(#REF!=6,"23-24/2",
IF(#REF!=7,"24-25/1",
IF(#REF!=8,"24-25/2","Hata4")))))))),
IF(#REF!+BM251=2022,
IF(#REF!=1,"22-23/1",
IF(#REF!=2,"22-23/2",
IF(#REF!=3,"23-24/1",
IF(#REF!=4,"23-24/2",
IF(#REF!=5,"24-25/1",
IF(#REF!=6,"24-25/2",
IF(#REF!=7,"25-26/1",
IF(#REF!=8,"25-26/2","Hata5")))))))),
IF(#REF!+BM251=2023,
IF(#REF!=1,"23-24/1",
IF(#REF!=2,"23-24/2",
IF(#REF!=3,"24-25/1",
IF(#REF!=4,"24-25/2",
IF(#REF!=5,"25-26/1",
IF(#REF!=6,"25-26/2",
IF(#REF!=7,"26-27/1",
IF(#REF!=8,"26-27/2","Hata6")))))))),
)))))),
IF(BE251="T",
IF(#REF!+BM251=2018,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1" s="1" t="s">
        <v>158</v>
      </c>
      <c r="J251" s="1">
        <v>4234780</v>
      </c>
      <c r="L251" s="2">
        <v>3494</v>
      </c>
      <c r="N251" s="2">
        <v>3</v>
      </c>
      <c r="O251" s="6">
        <f t="shared" si="181"/>
        <v>3</v>
      </c>
      <c r="P251" s="2">
        <f t="shared" si="182"/>
        <v>3</v>
      </c>
      <c r="Q251" s="2">
        <v>0</v>
      </c>
      <c r="R251" s="2">
        <v>0</v>
      </c>
      <c r="S251" s="2">
        <v>3</v>
      </c>
      <c r="X251" s="3">
        <v>4</v>
      </c>
      <c r="Y251" s="1">
        <f>VLOOKUP($X251,[32]ölçme_sistemleri!I:L,2,FALSE)</f>
        <v>0</v>
      </c>
      <c r="Z251" s="1">
        <f>VLOOKUP($X251,[32]ölçme_sistemleri!I:L,3,FALSE)</f>
        <v>1</v>
      </c>
      <c r="AA251" s="1">
        <f>VLOOKUP($X251,[32]ölçme_sistemleri!I:L,4,FALSE)</f>
        <v>1</v>
      </c>
      <c r="AB251" s="1">
        <f>$O251*[32]ölçme_sistemleri!J$13</f>
        <v>3</v>
      </c>
      <c r="AC251" s="1">
        <f>$O251*[32]ölçme_sistemleri!K$13</f>
        <v>6</v>
      </c>
      <c r="AD251" s="1">
        <f>$O251*[32]ölçme_sistemleri!L$13</f>
        <v>9</v>
      </c>
      <c r="AE251" s="1">
        <f t="shared" si="161"/>
        <v>0</v>
      </c>
      <c r="AF251" s="1">
        <f t="shared" si="162"/>
        <v>6</v>
      </c>
      <c r="AG251" s="1">
        <f t="shared" si="163"/>
        <v>9</v>
      </c>
      <c r="AH251" s="1">
        <f t="shared" si="164"/>
        <v>15</v>
      </c>
      <c r="AI251" s="1">
        <v>14</v>
      </c>
      <c r="AJ251" s="1">
        <f>VLOOKUP(X251,[32]ölçme_sistemleri!I:M,5,FALSE)</f>
        <v>1</v>
      </c>
      <c r="AK251" s="1">
        <f t="shared" si="165"/>
        <v>210</v>
      </c>
      <c r="AL251" s="1">
        <f>AI251*1</f>
        <v>14</v>
      </c>
      <c r="AM251" s="1">
        <f>VLOOKUP(X251,[32]ölçme_sistemleri!I:N,6,FALSE)</f>
        <v>2</v>
      </c>
      <c r="AN251" s="1">
        <v>2</v>
      </c>
      <c r="AO251" s="1">
        <f t="shared" si="166"/>
        <v>4</v>
      </c>
      <c r="AP251" s="1">
        <v>14</v>
      </c>
      <c r="AQ251" s="1">
        <f t="shared" si="167"/>
        <v>42</v>
      </c>
      <c r="AR251" s="1">
        <f t="shared" si="168"/>
        <v>75</v>
      </c>
      <c r="AS251" s="1">
        <f>IF(BE251="s",25,30)</f>
        <v>25</v>
      </c>
      <c r="AT251" s="1">
        <f t="shared" si="170"/>
        <v>3</v>
      </c>
      <c r="AU251" s="1">
        <f t="shared" si="171"/>
        <v>0</v>
      </c>
      <c r="AV251" s="1">
        <f t="shared" si="172"/>
        <v>0</v>
      </c>
      <c r="AW251" s="1">
        <f t="shared" si="173"/>
        <v>0</v>
      </c>
      <c r="AX251" s="1">
        <f t="shared" si="174"/>
        <v>0</v>
      </c>
      <c r="AY251" s="1">
        <f t="shared" si="175"/>
        <v>-15</v>
      </c>
      <c r="AZ251" s="1">
        <f t="shared" si="176"/>
        <v>0</v>
      </c>
      <c r="BA251" s="1">
        <f t="shared" si="177"/>
        <v>-14</v>
      </c>
      <c r="BB251" s="1">
        <f t="shared" si="178"/>
        <v>0</v>
      </c>
      <c r="BC251" s="1">
        <f t="shared" si="179"/>
        <v>-4</v>
      </c>
      <c r="BD251" s="1">
        <f t="shared" si="180"/>
        <v>0</v>
      </c>
      <c r="BE251" s="1" t="s">
        <v>65</v>
      </c>
      <c r="BF251" s="1">
        <f t="shared" si="183"/>
        <v>42</v>
      </c>
      <c r="BG251" s="1">
        <f t="shared" si="184"/>
        <v>42</v>
      </c>
      <c r="BH251" s="1">
        <f t="shared" si="185"/>
        <v>1</v>
      </c>
      <c r="BI251" s="1" t="e">
        <f>IF(BH251-#REF!=0,"DOĞRU","YANLIŞ")</f>
        <v>#REF!</v>
      </c>
      <c r="BJ251" s="1" t="e">
        <f>#REF!-BH251</f>
        <v>#REF!</v>
      </c>
      <c r="BK251" s="1">
        <v>0</v>
      </c>
      <c r="BM251" s="1">
        <v>0</v>
      </c>
      <c r="BT251" s="8">
        <f t="shared" si="186"/>
        <v>0</v>
      </c>
      <c r="BU251" s="9"/>
      <c r="BV251" s="10"/>
      <c r="BW251" s="11"/>
      <c r="BX251" s="11"/>
      <c r="BY251" s="11"/>
      <c r="BZ251" s="11"/>
      <c r="CA251" s="11"/>
      <c r="CB251" s="12"/>
      <c r="CC251" s="13"/>
      <c r="CD251" s="14"/>
      <c r="CL251" s="11"/>
      <c r="CM251" s="11"/>
      <c r="CN251" s="11"/>
      <c r="CO251" s="11"/>
      <c r="CP251" s="11"/>
      <c r="CQ251" s="54"/>
      <c r="CR251" s="46"/>
      <c r="CS251" s="48"/>
      <c r="CT251" s="48"/>
      <c r="CU251" s="48"/>
      <c r="CV251" s="48"/>
      <c r="CW251" s="49"/>
      <c r="CX251" s="49"/>
    </row>
    <row r="252" spans="1:103" hidden="1" x14ac:dyDescent="0.25">
      <c r="A252" s="1" t="s">
        <v>272</v>
      </c>
      <c r="B252" s="1" t="s">
        <v>261</v>
      </c>
      <c r="C252" s="1" t="s">
        <v>261</v>
      </c>
      <c r="D252" s="2" t="s">
        <v>58</v>
      </c>
      <c r="E252" s="2" t="s">
        <v>58</v>
      </c>
      <c r="F252" s="3" t="e">
        <f>IF(BE252="S",
IF(#REF!+BM252=2018,
IF(#REF!=1,"18-19/1",
IF(#REF!=2,"18-19/2",
IF(#REF!=3,"19-20/1",
IF(#REF!=4,"19-20/2",
IF(#REF!=5,"20-21/1",
IF(#REF!=6,"20-21/2",
IF(#REF!=7,"21-22/1",
IF(#REF!=8,"21-22/2","Hata1")))))))),
IF(#REF!+BM252=2019,
IF(#REF!=1,"19-20/1",
IF(#REF!=2,"19-20/2",
IF(#REF!=3,"20-21/1",
IF(#REF!=4,"20-21/2",
IF(#REF!=5,"21-22/1",
IF(#REF!=6,"21-22/2",
IF(#REF!=7,"22-23/1",
IF(#REF!=8,"22-23/2","Hata2")))))))),
IF(#REF!+BM252=2020,
IF(#REF!=1,"20-21/1",
IF(#REF!=2,"20-21/2",
IF(#REF!=3,"21-22/1",
IF(#REF!=4,"21-22/2",
IF(#REF!=5,"22-23/1",
IF(#REF!=6,"22-23/2",
IF(#REF!=7,"23-24/1",
IF(#REF!=8,"23-24/2","Hata3")))))))),
IF(#REF!+BM252=2021,
IF(#REF!=1,"21-22/1",
IF(#REF!=2,"21-22/2",
IF(#REF!=3,"22-23/1",
IF(#REF!=4,"22-23/2",
IF(#REF!=5,"23-24/1",
IF(#REF!=6,"23-24/2",
IF(#REF!=7,"24-25/1",
IF(#REF!=8,"24-25/2","Hata4")))))))),
IF(#REF!+BM252=2022,
IF(#REF!=1,"22-23/1",
IF(#REF!=2,"22-23/2",
IF(#REF!=3,"23-24/1",
IF(#REF!=4,"23-24/2",
IF(#REF!=5,"24-25/1",
IF(#REF!=6,"24-25/2",
IF(#REF!=7,"25-26/1",
IF(#REF!=8,"25-26/2","Hata5")))))))),
IF(#REF!+BM252=2023,
IF(#REF!=1,"23-24/1",
IF(#REF!=2,"23-24/2",
IF(#REF!=3,"24-25/1",
IF(#REF!=4,"24-25/2",
IF(#REF!=5,"25-26/1",
IF(#REF!=6,"25-26/2",
IF(#REF!=7,"26-27/1",
IF(#REF!=8,"26-27/2","Hata6")))))))),
)))))),
IF(BE252="T",
IF(#REF!+BM252=2018,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2" s="1" t="s">
        <v>158</v>
      </c>
      <c r="J252" s="1">
        <v>4234780</v>
      </c>
      <c r="N252" s="2">
        <v>4</v>
      </c>
      <c r="O252" s="6">
        <f t="shared" si="181"/>
        <v>3</v>
      </c>
      <c r="P252" s="2">
        <f t="shared" si="182"/>
        <v>3</v>
      </c>
      <c r="Q252" s="2">
        <v>0</v>
      </c>
      <c r="R252" s="2">
        <v>0</v>
      </c>
      <c r="S252" s="2">
        <v>3</v>
      </c>
      <c r="X252" s="3">
        <v>2</v>
      </c>
      <c r="Y252" s="1">
        <f>VLOOKUP($X252,[33]ölçme_sistemleri!I:L,2,FALSE)</f>
        <v>0</v>
      </c>
      <c r="Z252" s="1">
        <f>VLOOKUP($X252,[33]ölçme_sistemleri!I:L,3,FALSE)</f>
        <v>2</v>
      </c>
      <c r="AA252" s="1">
        <f>VLOOKUP($X252,[33]ölçme_sistemleri!I:L,4,FALSE)</f>
        <v>1</v>
      </c>
      <c r="AB252" s="1">
        <f>$O252*[33]ölçme_sistemleri!J$13</f>
        <v>3</v>
      </c>
      <c r="AC252" s="1">
        <f>$O252*[33]ölçme_sistemleri!K$13</f>
        <v>6</v>
      </c>
      <c r="AD252" s="1">
        <f>$O252*[33]ölçme_sistemleri!L$13</f>
        <v>9</v>
      </c>
      <c r="AE252" s="1">
        <f t="shared" si="161"/>
        <v>0</v>
      </c>
      <c r="AF252" s="1">
        <f t="shared" si="162"/>
        <v>12</v>
      </c>
      <c r="AG252" s="1">
        <f t="shared" si="163"/>
        <v>9</v>
      </c>
      <c r="AH252" s="1">
        <f t="shared" si="164"/>
        <v>21</v>
      </c>
      <c r="AI252" s="1">
        <v>14</v>
      </c>
      <c r="AJ252" s="1">
        <f>VLOOKUP(X252,[33]ölçme_sistemleri!I:M,5,FALSE)</f>
        <v>2</v>
      </c>
      <c r="AK252" s="1">
        <f t="shared" si="165"/>
        <v>294</v>
      </c>
      <c r="AL252" s="1">
        <f>(Q252+S252)*AI252</f>
        <v>42</v>
      </c>
      <c r="AM252" s="1">
        <f>VLOOKUP(X252,[33]ölçme_sistemleri!I:N,6,FALSE)</f>
        <v>3</v>
      </c>
      <c r="AN252" s="1">
        <v>2</v>
      </c>
      <c r="AO252" s="1">
        <f t="shared" si="166"/>
        <v>6</v>
      </c>
      <c r="AP252" s="1">
        <v>14</v>
      </c>
      <c r="AQ252" s="1">
        <f t="shared" si="167"/>
        <v>42</v>
      </c>
      <c r="AR252" s="1">
        <f t="shared" si="168"/>
        <v>111</v>
      </c>
      <c r="AS252" s="1">
        <f t="shared" ref="AS252:AS262" si="187">IF(BE252="s",25,25)</f>
        <v>25</v>
      </c>
      <c r="AT252" s="1">
        <f t="shared" si="170"/>
        <v>4</v>
      </c>
      <c r="AU252" s="1">
        <f t="shared" si="171"/>
        <v>0</v>
      </c>
      <c r="AV252" s="1">
        <f t="shared" si="172"/>
        <v>0</v>
      </c>
      <c r="AW252" s="1">
        <f t="shared" si="173"/>
        <v>0</v>
      </c>
      <c r="AX252" s="1">
        <f t="shared" si="174"/>
        <v>0</v>
      </c>
      <c r="AY252" s="1">
        <f t="shared" si="175"/>
        <v>-21</v>
      </c>
      <c r="AZ252" s="1">
        <f t="shared" si="176"/>
        <v>0</v>
      </c>
      <c r="BA252" s="1">
        <f t="shared" si="177"/>
        <v>-42</v>
      </c>
      <c r="BB252" s="1">
        <f t="shared" si="178"/>
        <v>0</v>
      </c>
      <c r="BC252" s="1">
        <f t="shared" si="179"/>
        <v>-6</v>
      </c>
      <c r="BD252" s="1">
        <f t="shared" si="180"/>
        <v>0</v>
      </c>
      <c r="BE252" s="1" t="s">
        <v>65</v>
      </c>
      <c r="BF252" s="1">
        <f t="shared" si="183"/>
        <v>42</v>
      </c>
      <c r="BG252" s="1">
        <f t="shared" si="184"/>
        <v>42</v>
      </c>
      <c r="BH252" s="1">
        <f t="shared" si="185"/>
        <v>1</v>
      </c>
      <c r="BI252" s="1" t="e">
        <f>IF(BH252-#REF!=0,"DOĞRU","YANLIŞ")</f>
        <v>#REF!</v>
      </c>
      <c r="BJ252" s="1" t="e">
        <f>#REF!-BH252</f>
        <v>#REF!</v>
      </c>
      <c r="BK252" s="1">
        <v>1</v>
      </c>
      <c r="BM252" s="1">
        <v>0</v>
      </c>
      <c r="BO252" s="1">
        <v>2</v>
      </c>
      <c r="BT252" s="8">
        <f t="shared" si="186"/>
        <v>0</v>
      </c>
      <c r="BU252" s="9"/>
      <c r="BV252" s="10"/>
      <c r="BW252" s="11"/>
      <c r="BX252" s="11"/>
      <c r="BY252" s="11"/>
      <c r="BZ252" s="11"/>
      <c r="CA252" s="11"/>
      <c r="CB252" s="12"/>
      <c r="CC252" s="13"/>
      <c r="CD252" s="14"/>
      <c r="CL252" s="11"/>
      <c r="CM252" s="11"/>
      <c r="CN252" s="11"/>
      <c r="CO252" s="11"/>
      <c r="CP252" s="11"/>
      <c r="CQ252" s="46"/>
      <c r="CR252" s="46"/>
      <c r="CS252" s="48"/>
      <c r="CT252" s="48"/>
      <c r="CU252" s="48"/>
      <c r="CV252" s="48"/>
      <c r="CW252" s="49"/>
      <c r="CX252" s="49"/>
    </row>
    <row r="253" spans="1:103" hidden="1" x14ac:dyDescent="0.25">
      <c r="A253" s="1" t="s">
        <v>357</v>
      </c>
      <c r="B253" s="1" t="s">
        <v>358</v>
      </c>
      <c r="C253" s="1" t="s">
        <v>358</v>
      </c>
      <c r="D253" s="2" t="s">
        <v>63</v>
      </c>
      <c r="E253" s="2" t="s">
        <v>63</v>
      </c>
      <c r="F253" s="3" t="e">
        <f>IF(BE253="S",
IF(#REF!+BM253=2018,
IF(#REF!=1,"18-19/1",
IF(#REF!=2,"18-19/2",
IF(#REF!=3,"19-20/1",
IF(#REF!=4,"19-20/2",
IF(#REF!=5,"20-21/1",
IF(#REF!=6,"20-21/2",
IF(#REF!=7,"21-22/1",
IF(#REF!=8,"21-22/2","Hata1")))))))),
IF(#REF!+BM253=2019,
IF(#REF!=1,"19-20/1",
IF(#REF!=2,"19-20/2",
IF(#REF!=3,"20-21/1",
IF(#REF!=4,"20-21/2",
IF(#REF!=5,"21-22/1",
IF(#REF!=6,"21-22/2",
IF(#REF!=7,"22-23/1",
IF(#REF!=8,"22-23/2","Hata2")))))))),
IF(#REF!+BM253=2020,
IF(#REF!=1,"20-21/1",
IF(#REF!=2,"20-21/2",
IF(#REF!=3,"21-22/1",
IF(#REF!=4,"21-22/2",
IF(#REF!=5,"22-23/1",
IF(#REF!=6,"22-23/2",
IF(#REF!=7,"23-24/1",
IF(#REF!=8,"23-24/2","Hata3")))))))),
IF(#REF!+BM253=2021,
IF(#REF!=1,"21-22/1",
IF(#REF!=2,"21-22/2",
IF(#REF!=3,"22-23/1",
IF(#REF!=4,"22-23/2",
IF(#REF!=5,"23-24/1",
IF(#REF!=6,"23-24/2",
IF(#REF!=7,"24-25/1",
IF(#REF!=8,"24-25/2","Hata4")))))))),
IF(#REF!+BM253=2022,
IF(#REF!=1,"22-23/1",
IF(#REF!=2,"22-23/2",
IF(#REF!=3,"23-24/1",
IF(#REF!=4,"23-24/2",
IF(#REF!=5,"24-25/1",
IF(#REF!=6,"24-25/2",
IF(#REF!=7,"25-26/1",
IF(#REF!=8,"25-26/2","Hata5")))))))),
IF(#REF!+BM253=2023,
IF(#REF!=1,"23-24/1",
IF(#REF!=2,"23-24/2",
IF(#REF!=3,"24-25/1",
IF(#REF!=4,"24-25/2",
IF(#REF!=5,"25-26/1",
IF(#REF!=6,"25-26/2",
IF(#REF!=7,"26-27/1",
IF(#REF!=8,"26-27/2","Hata6")))))))),
)))))),
IF(BE253="T",
IF(#REF!+BM253=2018,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3" s="1" t="s">
        <v>158</v>
      </c>
      <c r="L253" s="2">
        <v>4366</v>
      </c>
      <c r="N253" s="2">
        <v>1</v>
      </c>
      <c r="O253" s="6">
        <f t="shared" si="181"/>
        <v>1</v>
      </c>
      <c r="P253" s="2">
        <f t="shared" si="182"/>
        <v>1</v>
      </c>
      <c r="Q253" s="2">
        <v>1</v>
      </c>
      <c r="R253" s="2">
        <v>0</v>
      </c>
      <c r="S253" s="2">
        <v>0</v>
      </c>
      <c r="X253" s="3">
        <v>0</v>
      </c>
      <c r="Y253" s="1">
        <f>VLOOKUP(X253,[4]ölçme_sistemleri!I:L,2,FALSE)</f>
        <v>0</v>
      </c>
      <c r="Z253" s="1">
        <f>VLOOKUP(X253,[4]ölçme_sistemleri!I:L,3,FALSE)</f>
        <v>0</v>
      </c>
      <c r="AA253" s="1">
        <f>VLOOKUP(X253,[4]ölçme_sistemleri!I:L,4,FALSE)</f>
        <v>0</v>
      </c>
      <c r="AB253" s="1">
        <f>$O253*[4]ölçme_sistemleri!J$13</f>
        <v>1</v>
      </c>
      <c r="AC253" s="1">
        <f>$O253*[4]ölçme_sistemleri!K$13</f>
        <v>2</v>
      </c>
      <c r="AD253" s="1">
        <f>$O253*[4]ölçme_sistemleri!L$13</f>
        <v>3</v>
      </c>
      <c r="AE253" s="1">
        <f t="shared" si="161"/>
        <v>0</v>
      </c>
      <c r="AF253" s="1">
        <f t="shared" si="162"/>
        <v>0</v>
      </c>
      <c r="AG253" s="1">
        <f t="shared" si="163"/>
        <v>0</v>
      </c>
      <c r="AH253" s="1">
        <f t="shared" si="164"/>
        <v>0</v>
      </c>
      <c r="AI253" s="1">
        <v>14</v>
      </c>
      <c r="AJ253" s="1">
        <f>VLOOKUP(X253,[4]ölçme_sistemleri!I:M,5,FALSE)</f>
        <v>0</v>
      </c>
      <c r="AK253" s="1">
        <f t="shared" si="165"/>
        <v>0</v>
      </c>
      <c r="AL253" s="1">
        <f>(Q253+S253)*AI253</f>
        <v>14</v>
      </c>
      <c r="AM253" s="1">
        <f>VLOOKUP(X253,[4]ölçme_sistemleri!I:N,6,FALSE)</f>
        <v>0</v>
      </c>
      <c r="AN253" s="1">
        <v>2</v>
      </c>
      <c r="AO253" s="1">
        <f t="shared" si="166"/>
        <v>0</v>
      </c>
      <c r="AP253" s="1">
        <v>14</v>
      </c>
      <c r="AQ253" s="1">
        <f t="shared" si="167"/>
        <v>14</v>
      </c>
      <c r="AR253" s="1">
        <f t="shared" si="168"/>
        <v>28</v>
      </c>
      <c r="AS253" s="1">
        <f t="shared" si="187"/>
        <v>25</v>
      </c>
      <c r="AT253" s="1">
        <f t="shared" si="170"/>
        <v>1</v>
      </c>
      <c r="AU253" s="1">
        <f t="shared" si="171"/>
        <v>0</v>
      </c>
      <c r="AV253" s="1">
        <f t="shared" si="172"/>
        <v>0</v>
      </c>
      <c r="AW253" s="1">
        <f t="shared" si="173"/>
        <v>0</v>
      </c>
      <c r="AX253" s="1">
        <f t="shared" si="174"/>
        <v>0</v>
      </c>
      <c r="AY253" s="1">
        <f t="shared" si="175"/>
        <v>-3</v>
      </c>
      <c r="AZ253" s="1">
        <f t="shared" si="176"/>
        <v>0</v>
      </c>
      <c r="BA253" s="1">
        <f t="shared" si="177"/>
        <v>-14</v>
      </c>
      <c r="BB253" s="1">
        <f t="shared" si="178"/>
        <v>0</v>
      </c>
      <c r="BC253" s="1">
        <f t="shared" si="179"/>
        <v>0</v>
      </c>
      <c r="BD253" s="1">
        <f t="shared" si="180"/>
        <v>0</v>
      </c>
      <c r="BE253" s="1" t="s">
        <v>65</v>
      </c>
      <c r="BF253" s="1">
        <f t="shared" si="183"/>
        <v>14</v>
      </c>
      <c r="BG253" s="1">
        <f t="shared" si="184"/>
        <v>14</v>
      </c>
      <c r="BH253" s="1">
        <f t="shared" si="185"/>
        <v>0</v>
      </c>
      <c r="BI253" s="1" t="e">
        <f>IF(BH253-#REF!=0,"DOĞRU","YANLIŞ")</f>
        <v>#REF!</v>
      </c>
      <c r="BJ253" s="1" t="e">
        <f>#REF!-BH253</f>
        <v>#REF!</v>
      </c>
      <c r="BK253" s="1">
        <v>0</v>
      </c>
      <c r="BM253" s="1">
        <v>0</v>
      </c>
      <c r="BO253" s="1">
        <v>0</v>
      </c>
      <c r="BT253" s="8">
        <f t="shared" si="186"/>
        <v>0</v>
      </c>
      <c r="BU253" s="9"/>
      <c r="BV253" s="10"/>
      <c r="BW253" s="11"/>
      <c r="BX253" s="11"/>
      <c r="BY253" s="11"/>
      <c r="BZ253" s="11"/>
      <c r="CA253" s="11"/>
      <c r="CB253" s="12"/>
      <c r="CC253" s="13"/>
      <c r="CD253" s="14"/>
      <c r="CL253" s="11"/>
      <c r="CM253" s="11"/>
      <c r="CN253" s="11"/>
      <c r="CO253" s="11"/>
      <c r="CP253" s="11"/>
      <c r="CQ253" s="49"/>
      <c r="CR253" s="46"/>
      <c r="CS253" s="48"/>
      <c r="CT253" s="48"/>
      <c r="CU253" s="48"/>
      <c r="CV253" s="48"/>
      <c r="CW253" s="49"/>
      <c r="CX253" s="49"/>
    </row>
    <row r="254" spans="1:103" hidden="1" x14ac:dyDescent="0.25">
      <c r="A254" s="1" t="s">
        <v>357</v>
      </c>
      <c r="B254" s="1" t="s">
        <v>358</v>
      </c>
      <c r="C254" s="1" t="s">
        <v>358</v>
      </c>
      <c r="D254" s="2" t="s">
        <v>63</v>
      </c>
      <c r="E254" s="2" t="s">
        <v>63</v>
      </c>
      <c r="F254" s="3" t="e">
        <f>IF(BE254="S",
IF(#REF!+BM254=2018,
IF(#REF!=1,"18-19/1",
IF(#REF!=2,"18-19/2",
IF(#REF!=3,"19-20/1",
IF(#REF!=4,"19-20/2",
IF(#REF!=5,"20-21/1",
IF(#REF!=6,"20-21/2",
IF(#REF!=7,"21-22/1",
IF(#REF!=8,"21-22/2","Hata1")))))))),
IF(#REF!+BM254=2019,
IF(#REF!=1,"19-20/1",
IF(#REF!=2,"19-20/2",
IF(#REF!=3,"20-21/1",
IF(#REF!=4,"20-21/2",
IF(#REF!=5,"21-22/1",
IF(#REF!=6,"21-22/2",
IF(#REF!=7,"22-23/1",
IF(#REF!=8,"22-23/2","Hata2")))))))),
IF(#REF!+BM254=2020,
IF(#REF!=1,"20-21/1",
IF(#REF!=2,"20-21/2",
IF(#REF!=3,"21-22/1",
IF(#REF!=4,"21-22/2",
IF(#REF!=5,"22-23/1",
IF(#REF!=6,"22-23/2",
IF(#REF!=7,"23-24/1",
IF(#REF!=8,"23-24/2","Hata3")))))))),
IF(#REF!+BM254=2021,
IF(#REF!=1,"21-22/1",
IF(#REF!=2,"21-22/2",
IF(#REF!=3,"22-23/1",
IF(#REF!=4,"22-23/2",
IF(#REF!=5,"23-24/1",
IF(#REF!=6,"23-24/2",
IF(#REF!=7,"24-25/1",
IF(#REF!=8,"24-25/2","Hata4")))))))),
IF(#REF!+BM254=2022,
IF(#REF!=1,"22-23/1",
IF(#REF!=2,"22-23/2",
IF(#REF!=3,"23-24/1",
IF(#REF!=4,"23-24/2",
IF(#REF!=5,"24-25/1",
IF(#REF!=6,"24-25/2",
IF(#REF!=7,"25-26/1",
IF(#REF!=8,"25-26/2","Hata5")))))))),
IF(#REF!+BM254=2023,
IF(#REF!=1,"23-24/1",
IF(#REF!=2,"23-24/2",
IF(#REF!=3,"24-25/1",
IF(#REF!=4,"24-25/2",
IF(#REF!=5,"25-26/1",
IF(#REF!=6,"25-26/2",
IF(#REF!=7,"26-27/1",
IF(#REF!=8,"26-27/2","Hata6")))))))),
)))))),
IF(BE254="T",
IF(#REF!+BM254=2018,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4" s="1" t="s">
        <v>158</v>
      </c>
      <c r="L254" s="2">
        <v>4366</v>
      </c>
      <c r="N254" s="2">
        <v>1</v>
      </c>
      <c r="O254" s="6">
        <f t="shared" si="181"/>
        <v>1</v>
      </c>
      <c r="P254" s="2">
        <f t="shared" si="182"/>
        <v>1</v>
      </c>
      <c r="Q254" s="2">
        <v>1</v>
      </c>
      <c r="R254" s="2">
        <v>0</v>
      </c>
      <c r="S254" s="2">
        <v>0</v>
      </c>
      <c r="X254" s="3">
        <v>0</v>
      </c>
      <c r="Y254" s="1">
        <f>VLOOKUP(X254,[4]ölçme_sistemleri!I:L,2,FALSE)</f>
        <v>0</v>
      </c>
      <c r="Z254" s="1">
        <f>VLOOKUP(X254,[4]ölçme_sistemleri!I:L,3,FALSE)</f>
        <v>0</v>
      </c>
      <c r="AA254" s="1">
        <f>VLOOKUP(X254,[4]ölçme_sistemleri!I:L,4,FALSE)</f>
        <v>0</v>
      </c>
      <c r="AB254" s="1">
        <f>$O254*[4]ölçme_sistemleri!J$13</f>
        <v>1</v>
      </c>
      <c r="AC254" s="1">
        <f>$O254*[4]ölçme_sistemleri!K$13</f>
        <v>2</v>
      </c>
      <c r="AD254" s="1">
        <f>$O254*[4]ölçme_sistemleri!L$13</f>
        <v>3</v>
      </c>
      <c r="AE254" s="1">
        <f t="shared" si="161"/>
        <v>0</v>
      </c>
      <c r="AF254" s="1">
        <f t="shared" si="162"/>
        <v>0</v>
      </c>
      <c r="AG254" s="1">
        <f t="shared" si="163"/>
        <v>0</v>
      </c>
      <c r="AH254" s="1">
        <f t="shared" si="164"/>
        <v>0</v>
      </c>
      <c r="AI254" s="1">
        <v>14</v>
      </c>
      <c r="AJ254" s="1">
        <f>VLOOKUP(X254,[4]ölçme_sistemleri!I:M,5,FALSE)</f>
        <v>0</v>
      </c>
      <c r="AK254" s="1">
        <f t="shared" si="165"/>
        <v>0</v>
      </c>
      <c r="AL254" s="1">
        <f>(Q254+S254)*AI254</f>
        <v>14</v>
      </c>
      <c r="AM254" s="1">
        <f>VLOOKUP(X254,[4]ölçme_sistemleri!I:N,6,FALSE)</f>
        <v>0</v>
      </c>
      <c r="AN254" s="1">
        <v>2</v>
      </c>
      <c r="AO254" s="1">
        <f t="shared" si="166"/>
        <v>0</v>
      </c>
      <c r="AP254" s="1">
        <v>14</v>
      </c>
      <c r="AQ254" s="1">
        <f t="shared" si="167"/>
        <v>14</v>
      </c>
      <c r="AR254" s="1">
        <f t="shared" si="168"/>
        <v>28</v>
      </c>
      <c r="AS254" s="1">
        <f t="shared" si="187"/>
        <v>25</v>
      </c>
      <c r="AT254" s="1">
        <f t="shared" si="170"/>
        <v>1</v>
      </c>
      <c r="AU254" s="1">
        <f t="shared" si="171"/>
        <v>0</v>
      </c>
      <c r="AV254" s="1">
        <f t="shared" si="172"/>
        <v>0</v>
      </c>
      <c r="AW254" s="1">
        <f t="shared" si="173"/>
        <v>0</v>
      </c>
      <c r="AX254" s="1">
        <f t="shared" si="174"/>
        <v>0</v>
      </c>
      <c r="AY254" s="1">
        <f t="shared" si="175"/>
        <v>-3</v>
      </c>
      <c r="AZ254" s="1">
        <f t="shared" si="176"/>
        <v>0</v>
      </c>
      <c r="BA254" s="1">
        <f t="shared" si="177"/>
        <v>-14</v>
      </c>
      <c r="BB254" s="1">
        <f t="shared" si="178"/>
        <v>0</v>
      </c>
      <c r="BC254" s="1">
        <f t="shared" si="179"/>
        <v>0</v>
      </c>
      <c r="BD254" s="1">
        <f t="shared" si="180"/>
        <v>0</v>
      </c>
      <c r="BE254" s="1" t="s">
        <v>65</v>
      </c>
      <c r="BF254" s="1">
        <f t="shared" si="183"/>
        <v>14</v>
      </c>
      <c r="BG254" s="1">
        <f t="shared" si="184"/>
        <v>14</v>
      </c>
      <c r="BH254" s="1">
        <f t="shared" si="185"/>
        <v>0</v>
      </c>
      <c r="BI254" s="1" t="e">
        <f>IF(BH254-#REF!=0,"DOĞRU","YANLIŞ")</f>
        <v>#REF!</v>
      </c>
      <c r="BJ254" s="1" t="e">
        <f>#REF!-BH254</f>
        <v>#REF!</v>
      </c>
      <c r="BK254" s="1">
        <v>0</v>
      </c>
      <c r="BM254" s="1">
        <v>0</v>
      </c>
      <c r="BO254" s="1">
        <v>0</v>
      </c>
      <c r="BT254" s="8">
        <f t="shared" si="186"/>
        <v>0</v>
      </c>
      <c r="BU254" s="9"/>
      <c r="BV254" s="10"/>
      <c r="BW254" s="11"/>
      <c r="BX254" s="11"/>
      <c r="BY254" s="11"/>
      <c r="BZ254" s="11"/>
      <c r="CA254" s="11"/>
      <c r="CB254" s="12"/>
      <c r="CC254" s="13"/>
      <c r="CD254" s="14"/>
      <c r="CL254" s="11"/>
      <c r="CM254" s="11"/>
      <c r="CN254" s="11"/>
      <c r="CO254" s="11"/>
      <c r="CP254" s="11"/>
      <c r="CQ254" s="49"/>
      <c r="CR254" s="46"/>
      <c r="CS254" s="48"/>
      <c r="CT254" s="48"/>
      <c r="CU254" s="48"/>
      <c r="CV254" s="48"/>
      <c r="CW254" s="49"/>
      <c r="CX254" s="49"/>
    </row>
    <row r="255" spans="1:103" hidden="1" x14ac:dyDescent="0.25">
      <c r="A255" s="1" t="s">
        <v>357</v>
      </c>
      <c r="B255" s="1" t="s">
        <v>358</v>
      </c>
      <c r="C255" s="1" t="s">
        <v>358</v>
      </c>
      <c r="D255" s="2" t="s">
        <v>63</v>
      </c>
      <c r="E255" s="2" t="s">
        <v>63</v>
      </c>
      <c r="F255" s="3" t="e">
        <f>IF(BE255="S",
IF(#REF!+BM255=2018,
IF(#REF!=1,"18-19/1",
IF(#REF!=2,"18-19/2",
IF(#REF!=3,"19-20/1",
IF(#REF!=4,"19-20/2",
IF(#REF!=5,"20-21/1",
IF(#REF!=6,"20-21/2",
IF(#REF!=7,"21-22/1",
IF(#REF!=8,"21-22/2","Hata1")))))))),
IF(#REF!+BM255=2019,
IF(#REF!=1,"19-20/1",
IF(#REF!=2,"19-20/2",
IF(#REF!=3,"20-21/1",
IF(#REF!=4,"20-21/2",
IF(#REF!=5,"21-22/1",
IF(#REF!=6,"21-22/2",
IF(#REF!=7,"22-23/1",
IF(#REF!=8,"22-23/2","Hata2")))))))),
IF(#REF!+BM255=2020,
IF(#REF!=1,"20-21/1",
IF(#REF!=2,"20-21/2",
IF(#REF!=3,"21-22/1",
IF(#REF!=4,"21-22/2",
IF(#REF!=5,"22-23/1",
IF(#REF!=6,"22-23/2",
IF(#REF!=7,"23-24/1",
IF(#REF!=8,"23-24/2","Hata3")))))))),
IF(#REF!+BM255=2021,
IF(#REF!=1,"21-22/1",
IF(#REF!=2,"21-22/2",
IF(#REF!=3,"22-23/1",
IF(#REF!=4,"22-23/2",
IF(#REF!=5,"23-24/1",
IF(#REF!=6,"23-24/2",
IF(#REF!=7,"24-25/1",
IF(#REF!=8,"24-25/2","Hata4")))))))),
IF(#REF!+BM255=2022,
IF(#REF!=1,"22-23/1",
IF(#REF!=2,"22-23/2",
IF(#REF!=3,"23-24/1",
IF(#REF!=4,"23-24/2",
IF(#REF!=5,"24-25/1",
IF(#REF!=6,"24-25/2",
IF(#REF!=7,"25-26/1",
IF(#REF!=8,"25-26/2","Hata5")))))))),
IF(#REF!+BM255=2023,
IF(#REF!=1,"23-24/1",
IF(#REF!=2,"23-24/2",
IF(#REF!=3,"24-25/1",
IF(#REF!=4,"24-25/2",
IF(#REF!=5,"25-26/1",
IF(#REF!=6,"25-26/2",
IF(#REF!=7,"26-27/1",
IF(#REF!=8,"26-27/2","Hata6")))))))),
)))))),
IF(BE255="T",
IF(#REF!+BM255=2018,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5" s="1" t="s">
        <v>158</v>
      </c>
      <c r="L255" s="2">
        <v>4366</v>
      </c>
      <c r="N255" s="2">
        <v>1</v>
      </c>
      <c r="O255" s="6">
        <f t="shared" si="181"/>
        <v>1</v>
      </c>
      <c r="P255" s="2">
        <f t="shared" si="182"/>
        <v>1</v>
      </c>
      <c r="Q255" s="2">
        <v>1</v>
      </c>
      <c r="R255" s="2">
        <v>0</v>
      </c>
      <c r="S255" s="2">
        <v>0</v>
      </c>
      <c r="X255" s="3">
        <v>0</v>
      </c>
      <c r="Y255" s="1">
        <f>VLOOKUP(X255,[4]ölçme_sistemleri!I:L,2,FALSE)</f>
        <v>0</v>
      </c>
      <c r="Z255" s="1">
        <f>VLOOKUP(X255,[4]ölçme_sistemleri!I:L,3,FALSE)</f>
        <v>0</v>
      </c>
      <c r="AA255" s="1">
        <f>VLOOKUP(X255,[4]ölçme_sistemleri!I:L,4,FALSE)</f>
        <v>0</v>
      </c>
      <c r="AB255" s="1">
        <f>$O255*[4]ölçme_sistemleri!J$13</f>
        <v>1</v>
      </c>
      <c r="AC255" s="1">
        <f>$O255*[4]ölçme_sistemleri!K$13</f>
        <v>2</v>
      </c>
      <c r="AD255" s="1">
        <f>$O255*[4]ölçme_sistemleri!L$13</f>
        <v>3</v>
      </c>
      <c r="AE255" s="1">
        <f t="shared" si="161"/>
        <v>0</v>
      </c>
      <c r="AF255" s="1">
        <f t="shared" si="162"/>
        <v>0</v>
      </c>
      <c r="AG255" s="1">
        <f t="shared" si="163"/>
        <v>0</v>
      </c>
      <c r="AH255" s="1">
        <f t="shared" si="164"/>
        <v>0</v>
      </c>
      <c r="AI255" s="1">
        <v>14</v>
      </c>
      <c r="AJ255" s="1">
        <f>VLOOKUP(X255,[4]ölçme_sistemleri!I:M,5,FALSE)</f>
        <v>0</v>
      </c>
      <c r="AK255" s="1">
        <f t="shared" si="165"/>
        <v>0</v>
      </c>
      <c r="AL255" s="1">
        <f>(Q255+S255)*AI255</f>
        <v>14</v>
      </c>
      <c r="AM255" s="1">
        <f>VLOOKUP(X255,[4]ölçme_sistemleri!I:N,6,FALSE)</f>
        <v>0</v>
      </c>
      <c r="AN255" s="1">
        <v>2</v>
      </c>
      <c r="AO255" s="1">
        <f t="shared" si="166"/>
        <v>0</v>
      </c>
      <c r="AP255" s="1">
        <v>14</v>
      </c>
      <c r="AQ255" s="1">
        <f t="shared" si="167"/>
        <v>14</v>
      </c>
      <c r="AR255" s="1">
        <f t="shared" si="168"/>
        <v>28</v>
      </c>
      <c r="AS255" s="1">
        <f t="shared" si="187"/>
        <v>25</v>
      </c>
      <c r="AT255" s="1">
        <f t="shared" si="170"/>
        <v>1</v>
      </c>
      <c r="AU255" s="1">
        <f t="shared" si="171"/>
        <v>0</v>
      </c>
      <c r="AV255" s="1">
        <f t="shared" si="172"/>
        <v>0</v>
      </c>
      <c r="AW255" s="1">
        <f t="shared" si="173"/>
        <v>0</v>
      </c>
      <c r="AX255" s="1">
        <f t="shared" si="174"/>
        <v>0</v>
      </c>
      <c r="AY255" s="1">
        <f t="shared" si="175"/>
        <v>-3</v>
      </c>
      <c r="AZ255" s="1">
        <f t="shared" si="176"/>
        <v>0</v>
      </c>
      <c r="BA255" s="1">
        <f t="shared" si="177"/>
        <v>-14</v>
      </c>
      <c r="BB255" s="1">
        <f t="shared" si="178"/>
        <v>0</v>
      </c>
      <c r="BC255" s="1">
        <f t="shared" si="179"/>
        <v>0</v>
      </c>
      <c r="BD255" s="1">
        <f t="shared" si="180"/>
        <v>0</v>
      </c>
      <c r="BE255" s="1" t="s">
        <v>65</v>
      </c>
      <c r="BF255" s="1">
        <f t="shared" si="183"/>
        <v>14</v>
      </c>
      <c r="BG255" s="1">
        <f t="shared" si="184"/>
        <v>14</v>
      </c>
      <c r="BH255" s="1">
        <f t="shared" si="185"/>
        <v>0</v>
      </c>
      <c r="BI255" s="1" t="e">
        <f>IF(BH255-#REF!=0,"DOĞRU","YANLIŞ")</f>
        <v>#REF!</v>
      </c>
      <c r="BJ255" s="1" t="e">
        <f>#REF!-BH255</f>
        <v>#REF!</v>
      </c>
      <c r="BK255" s="1">
        <v>0</v>
      </c>
      <c r="BM255" s="1">
        <v>0</v>
      </c>
      <c r="BO255" s="1">
        <v>0</v>
      </c>
      <c r="BT255" s="8">
        <f t="shared" si="186"/>
        <v>0</v>
      </c>
      <c r="BU255" s="9"/>
      <c r="BV255" s="10"/>
      <c r="BW255" s="11"/>
      <c r="BX255" s="11"/>
      <c r="BY255" s="11"/>
      <c r="BZ255" s="11"/>
      <c r="CA255" s="11"/>
      <c r="CB255" s="12"/>
      <c r="CC255" s="13"/>
      <c r="CD255" s="14"/>
      <c r="CL255" s="11"/>
      <c r="CM255" s="11"/>
      <c r="CN255" s="11"/>
      <c r="CO255" s="11"/>
      <c r="CP255" s="11"/>
      <c r="CQ255" s="49"/>
      <c r="CR255" s="46"/>
      <c r="CS255" s="49"/>
      <c r="CT255" s="48"/>
      <c r="CU255" s="49"/>
      <c r="CV255" s="48"/>
      <c r="CW255" s="49"/>
      <c r="CX255" s="49"/>
    </row>
    <row r="256" spans="1:103" hidden="1" x14ac:dyDescent="0.25">
      <c r="A256" s="1" t="s">
        <v>270</v>
      </c>
      <c r="B256" s="1" t="s">
        <v>271</v>
      </c>
      <c r="C256" s="1" t="s">
        <v>271</v>
      </c>
      <c r="D256" s="2" t="s">
        <v>63</v>
      </c>
      <c r="E256" s="2" t="s">
        <v>63</v>
      </c>
      <c r="F256" s="3" t="e">
        <f>IF(BE256="S",
IF(#REF!+BM256=2018,
IF(#REF!=1,"18-19/1",
IF(#REF!=2,"18-19/2",
IF(#REF!=3,"19-20/1",
IF(#REF!=4,"19-20/2",
IF(#REF!=5,"20-21/1",
IF(#REF!=6,"20-21/2",
IF(#REF!=7,"21-22/1",
IF(#REF!=8,"21-22/2","Hata1")))))))),
IF(#REF!+BM256=2019,
IF(#REF!=1,"19-20/1",
IF(#REF!=2,"19-20/2",
IF(#REF!=3,"20-21/1",
IF(#REF!=4,"20-21/2",
IF(#REF!=5,"21-22/1",
IF(#REF!=6,"21-22/2",
IF(#REF!=7,"22-23/1",
IF(#REF!=8,"22-23/2","Hata2")))))))),
IF(#REF!+BM256=2020,
IF(#REF!=1,"20-21/1",
IF(#REF!=2,"20-21/2",
IF(#REF!=3,"21-22/1",
IF(#REF!=4,"21-22/2",
IF(#REF!=5,"22-23/1",
IF(#REF!=6,"22-23/2",
IF(#REF!=7,"23-24/1",
IF(#REF!=8,"23-24/2","Hata3")))))))),
IF(#REF!+BM256=2021,
IF(#REF!=1,"21-22/1",
IF(#REF!=2,"21-22/2",
IF(#REF!=3,"22-23/1",
IF(#REF!=4,"22-23/2",
IF(#REF!=5,"23-24/1",
IF(#REF!=6,"23-24/2",
IF(#REF!=7,"24-25/1",
IF(#REF!=8,"24-25/2","Hata4")))))))),
IF(#REF!+BM256=2022,
IF(#REF!=1,"22-23/1",
IF(#REF!=2,"22-23/2",
IF(#REF!=3,"23-24/1",
IF(#REF!=4,"23-24/2",
IF(#REF!=5,"24-25/1",
IF(#REF!=6,"24-25/2",
IF(#REF!=7,"25-26/1",
IF(#REF!=8,"25-26/2","Hata5")))))))),
IF(#REF!+BM256=2023,
IF(#REF!=1,"23-24/1",
IF(#REF!=2,"23-24/2",
IF(#REF!=3,"24-25/1",
IF(#REF!=4,"24-25/2",
IF(#REF!=5,"25-26/1",
IF(#REF!=6,"25-26/2",
IF(#REF!=7,"26-27/1",
IF(#REF!=8,"26-27/2","Hata6")))))))),
)))))),
IF(BE256="T",
IF(#REF!+BM256=2018,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6" s="1" t="s">
        <v>158</v>
      </c>
      <c r="J256" s="1">
        <v>4234780</v>
      </c>
      <c r="N256" s="2">
        <v>4</v>
      </c>
      <c r="O256" s="6">
        <f t="shared" si="181"/>
        <v>3</v>
      </c>
      <c r="P256" s="2">
        <f t="shared" si="182"/>
        <v>3</v>
      </c>
      <c r="Q256" s="2">
        <v>0</v>
      </c>
      <c r="R256" s="2">
        <v>0</v>
      </c>
      <c r="S256" s="2">
        <v>3</v>
      </c>
      <c r="X256" s="3">
        <v>2</v>
      </c>
      <c r="Y256" s="1">
        <f>VLOOKUP($X256,[31]ölçme_sistemleri!I:L,2,FALSE)</f>
        <v>0</v>
      </c>
      <c r="Z256" s="1">
        <f>VLOOKUP($X256,[31]ölçme_sistemleri!I:L,3,FALSE)</f>
        <v>2</v>
      </c>
      <c r="AA256" s="1">
        <f>VLOOKUP($X256,[31]ölçme_sistemleri!I:L,4,FALSE)</f>
        <v>1</v>
      </c>
      <c r="AB256" s="1">
        <f>$O256*[31]ölçme_sistemleri!J$13</f>
        <v>3</v>
      </c>
      <c r="AC256" s="1">
        <f>$O256*[31]ölçme_sistemleri!K$13</f>
        <v>6</v>
      </c>
      <c r="AD256" s="1">
        <f>$O256*[31]ölçme_sistemleri!L$13</f>
        <v>9</v>
      </c>
      <c r="AE256" s="1">
        <f t="shared" si="161"/>
        <v>0</v>
      </c>
      <c r="AF256" s="1">
        <f t="shared" si="162"/>
        <v>12</v>
      </c>
      <c r="AG256" s="1">
        <f t="shared" si="163"/>
        <v>9</v>
      </c>
      <c r="AH256" s="1">
        <f t="shared" si="164"/>
        <v>21</v>
      </c>
      <c r="AI256" s="1">
        <v>14</v>
      </c>
      <c r="AJ256" s="1">
        <f>VLOOKUP(X256,[31]ölçme_sistemleri!I:M,5,FALSE)</f>
        <v>2</v>
      </c>
      <c r="AK256" s="1">
        <f t="shared" si="165"/>
        <v>294</v>
      </c>
      <c r="AL256" s="1">
        <f>(Q256+S256)*AI256</f>
        <v>42</v>
      </c>
      <c r="AM256" s="1">
        <f>VLOOKUP(X256,[31]ölçme_sistemleri!I:N,6,FALSE)</f>
        <v>3</v>
      </c>
      <c r="AN256" s="1">
        <v>2</v>
      </c>
      <c r="AO256" s="1">
        <f t="shared" si="166"/>
        <v>6</v>
      </c>
      <c r="AP256" s="1">
        <v>14</v>
      </c>
      <c r="AQ256" s="1">
        <f t="shared" si="167"/>
        <v>42</v>
      </c>
      <c r="AR256" s="1">
        <f t="shared" si="168"/>
        <v>111</v>
      </c>
      <c r="AS256" s="1">
        <f t="shared" si="187"/>
        <v>25</v>
      </c>
      <c r="AT256" s="1">
        <f t="shared" si="170"/>
        <v>4</v>
      </c>
      <c r="AU256" s="1">
        <f t="shared" si="171"/>
        <v>0</v>
      </c>
      <c r="AV256" s="1">
        <f t="shared" si="172"/>
        <v>0</v>
      </c>
      <c r="AW256" s="1">
        <f t="shared" si="173"/>
        <v>0</v>
      </c>
      <c r="AX256" s="1">
        <f t="shared" si="174"/>
        <v>0</v>
      </c>
      <c r="AY256" s="1">
        <f t="shared" si="175"/>
        <v>-21</v>
      </c>
      <c r="AZ256" s="1">
        <f t="shared" si="176"/>
        <v>0</v>
      </c>
      <c r="BA256" s="1">
        <f t="shared" si="177"/>
        <v>-42</v>
      </c>
      <c r="BB256" s="1">
        <f t="shared" si="178"/>
        <v>0</v>
      </c>
      <c r="BC256" s="1">
        <f t="shared" si="179"/>
        <v>-6</v>
      </c>
      <c r="BD256" s="1">
        <f t="shared" si="180"/>
        <v>0</v>
      </c>
      <c r="BE256" s="1" t="s">
        <v>65</v>
      </c>
      <c r="BF256" s="1">
        <f t="shared" si="183"/>
        <v>42</v>
      </c>
      <c r="BG256" s="1">
        <f t="shared" si="184"/>
        <v>42</v>
      </c>
      <c r="BH256" s="1">
        <f t="shared" si="185"/>
        <v>1</v>
      </c>
      <c r="BI256" s="1" t="e">
        <f>IF(BH256-#REF!=0,"DOĞRU","YANLIŞ")</f>
        <v>#REF!</v>
      </c>
      <c r="BJ256" s="1" t="e">
        <f>#REF!-BH256</f>
        <v>#REF!</v>
      </c>
      <c r="BK256" s="1">
        <v>1</v>
      </c>
      <c r="BM256" s="1">
        <v>0</v>
      </c>
      <c r="BO256" s="1">
        <v>2</v>
      </c>
      <c r="BT256" s="8">
        <f t="shared" si="186"/>
        <v>0</v>
      </c>
      <c r="BU256" s="9"/>
      <c r="BV256" s="10"/>
      <c r="BW256" s="11"/>
      <c r="BX256" s="11"/>
      <c r="BY256" s="11"/>
      <c r="BZ256" s="11"/>
      <c r="CA256" s="11"/>
      <c r="CB256" s="12"/>
      <c r="CC256" s="13"/>
      <c r="CD256" s="14"/>
      <c r="CL256" s="11"/>
      <c r="CM256" s="11"/>
      <c r="CN256" s="11"/>
      <c r="CO256" s="11"/>
      <c r="CP256" s="11"/>
      <c r="CQ256" s="49"/>
      <c r="CR256" s="46"/>
      <c r="CS256" s="49"/>
      <c r="CT256" s="48"/>
      <c r="CU256" s="49"/>
      <c r="CV256" s="48"/>
      <c r="CW256" s="49"/>
      <c r="CX256" s="49"/>
      <c r="CY256"/>
    </row>
    <row r="257" spans="1:102" hidden="1" x14ac:dyDescent="0.25">
      <c r="A257" s="1" t="s">
        <v>245</v>
      </c>
      <c r="B257" s="1" t="s">
        <v>246</v>
      </c>
      <c r="C257" s="1" t="s">
        <v>246</v>
      </c>
      <c r="D257" s="2" t="s">
        <v>63</v>
      </c>
      <c r="E257" s="2" t="s">
        <v>63</v>
      </c>
      <c r="F257" s="3" t="e">
        <f>IF(BE257="S",
IF(#REF!+BM257=2018,
IF(#REF!=1,"18-19/1",
IF(#REF!=2,"18-19/2",
IF(#REF!=3,"19-20/1",
IF(#REF!=4,"19-20/2",
IF(#REF!=5,"20-21/1",
IF(#REF!=6,"20-21/2",
IF(#REF!=7,"21-22/1",
IF(#REF!=8,"21-22/2","Hata1")))))))),
IF(#REF!+BM257=2019,
IF(#REF!=1,"19-20/1",
IF(#REF!=2,"19-20/2",
IF(#REF!=3,"20-21/1",
IF(#REF!=4,"20-21/2",
IF(#REF!=5,"21-22/1",
IF(#REF!=6,"21-22/2",
IF(#REF!=7,"22-23/1",
IF(#REF!=8,"22-23/2","Hata2")))))))),
IF(#REF!+BM257=2020,
IF(#REF!=1,"20-21/1",
IF(#REF!=2,"20-21/2",
IF(#REF!=3,"21-22/1",
IF(#REF!=4,"21-22/2",
IF(#REF!=5,"22-23/1",
IF(#REF!=6,"22-23/2",
IF(#REF!=7,"23-24/1",
IF(#REF!=8,"23-24/2","Hata3")))))))),
IF(#REF!+BM257=2021,
IF(#REF!=1,"21-22/1",
IF(#REF!=2,"21-22/2",
IF(#REF!=3,"22-23/1",
IF(#REF!=4,"22-23/2",
IF(#REF!=5,"23-24/1",
IF(#REF!=6,"23-24/2",
IF(#REF!=7,"24-25/1",
IF(#REF!=8,"24-25/2","Hata4")))))))),
IF(#REF!+BM257=2022,
IF(#REF!=1,"22-23/1",
IF(#REF!=2,"22-23/2",
IF(#REF!=3,"23-24/1",
IF(#REF!=4,"23-24/2",
IF(#REF!=5,"24-25/1",
IF(#REF!=6,"24-25/2",
IF(#REF!=7,"25-26/1",
IF(#REF!=8,"25-26/2","Hata5")))))))),
IF(#REF!+BM257=2023,
IF(#REF!=1,"23-24/1",
IF(#REF!=2,"23-24/2",
IF(#REF!=3,"24-25/1",
IF(#REF!=4,"24-25/2",
IF(#REF!=5,"25-26/1",
IF(#REF!=6,"25-26/2",
IF(#REF!=7,"26-27/1",
IF(#REF!=8,"26-27/2","Hata6")))))))),
)))))),
IF(BE257="T",
IF(#REF!+BM257=2018,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7" s="1" t="s">
        <v>158</v>
      </c>
      <c r="J257" s="1">
        <v>4234780</v>
      </c>
      <c r="L257" s="2">
        <v>3493</v>
      </c>
      <c r="N257" s="2">
        <v>4</v>
      </c>
      <c r="O257" s="6">
        <f t="shared" si="181"/>
        <v>2</v>
      </c>
      <c r="P257" s="2">
        <f t="shared" si="182"/>
        <v>2</v>
      </c>
      <c r="Q257" s="2">
        <v>0</v>
      </c>
      <c r="R257" s="2">
        <v>0</v>
      </c>
      <c r="S257" s="2">
        <v>2</v>
      </c>
      <c r="X257" s="3">
        <v>4</v>
      </c>
      <c r="Y257" s="1">
        <f>VLOOKUP($X257,[32]ölçme_sistemleri!I:L,2,FALSE)</f>
        <v>0</v>
      </c>
      <c r="Z257" s="1">
        <f>VLOOKUP($X257,[32]ölçme_sistemleri!I:L,3,FALSE)</f>
        <v>1</v>
      </c>
      <c r="AA257" s="1">
        <f>VLOOKUP($X257,[32]ölçme_sistemleri!I:L,4,FALSE)</f>
        <v>1</v>
      </c>
      <c r="AB257" s="1">
        <f>$O257*[32]ölçme_sistemleri!J$13</f>
        <v>2</v>
      </c>
      <c r="AC257" s="1">
        <f>$O257*[32]ölçme_sistemleri!K$13</f>
        <v>4</v>
      </c>
      <c r="AD257" s="1">
        <f>$O257*[32]ölçme_sistemleri!L$13</f>
        <v>6</v>
      </c>
      <c r="AE257" s="1">
        <f t="shared" si="161"/>
        <v>0</v>
      </c>
      <c r="AF257" s="1">
        <f t="shared" si="162"/>
        <v>4</v>
      </c>
      <c r="AG257" s="1">
        <f t="shared" si="163"/>
        <v>6</v>
      </c>
      <c r="AH257" s="1">
        <f t="shared" si="164"/>
        <v>10</v>
      </c>
      <c r="AI257" s="1">
        <v>14</v>
      </c>
      <c r="AJ257" s="1">
        <f>VLOOKUP(X257,[32]ölçme_sistemleri!I:M,5,FALSE)</f>
        <v>1</v>
      </c>
      <c r="AK257" s="1">
        <f t="shared" si="165"/>
        <v>140</v>
      </c>
      <c r="AL257" s="1">
        <f>AI257*4</f>
        <v>56</v>
      </c>
      <c r="AM257" s="1">
        <f>VLOOKUP(X257,[32]ölçme_sistemleri!I:N,6,FALSE)</f>
        <v>2</v>
      </c>
      <c r="AN257" s="1">
        <v>2</v>
      </c>
      <c r="AO257" s="1">
        <f t="shared" si="166"/>
        <v>4</v>
      </c>
      <c r="AP257" s="1">
        <v>14</v>
      </c>
      <c r="AQ257" s="1">
        <f t="shared" si="167"/>
        <v>28</v>
      </c>
      <c r="AR257" s="1">
        <f t="shared" si="168"/>
        <v>98</v>
      </c>
      <c r="AS257" s="1">
        <f t="shared" si="187"/>
        <v>25</v>
      </c>
      <c r="AT257" s="1">
        <f t="shared" si="170"/>
        <v>4</v>
      </c>
      <c r="AU257" s="1">
        <f t="shared" si="171"/>
        <v>0</v>
      </c>
      <c r="AV257" s="1">
        <f t="shared" si="172"/>
        <v>0</v>
      </c>
      <c r="AW257" s="1">
        <f t="shared" si="173"/>
        <v>0</v>
      </c>
      <c r="AX257" s="1">
        <f t="shared" si="174"/>
        <v>0</v>
      </c>
      <c r="AY257" s="1">
        <f t="shared" si="175"/>
        <v>-10</v>
      </c>
      <c r="AZ257" s="1">
        <f t="shared" si="176"/>
        <v>0</v>
      </c>
      <c r="BA257" s="1">
        <f t="shared" si="177"/>
        <v>-56</v>
      </c>
      <c r="BB257" s="1">
        <f t="shared" si="178"/>
        <v>0</v>
      </c>
      <c r="BC257" s="1">
        <f t="shared" si="179"/>
        <v>-4</v>
      </c>
      <c r="BD257" s="1">
        <f t="shared" si="180"/>
        <v>0</v>
      </c>
      <c r="BE257" s="1" t="s">
        <v>65</v>
      </c>
      <c r="BF257" s="1">
        <f t="shared" si="183"/>
        <v>28</v>
      </c>
      <c r="BG257" s="1">
        <f t="shared" si="184"/>
        <v>28</v>
      </c>
      <c r="BH257" s="1">
        <f t="shared" si="185"/>
        <v>1</v>
      </c>
      <c r="BI257" s="1" t="e">
        <f>IF(BH257-#REF!=0,"DOĞRU","YANLIŞ")</f>
        <v>#REF!</v>
      </c>
      <c r="BJ257" s="1" t="e">
        <f>#REF!-BH257</f>
        <v>#REF!</v>
      </c>
      <c r="BK257" s="1">
        <v>0</v>
      </c>
      <c r="BM257" s="1">
        <v>0</v>
      </c>
      <c r="BT257" s="8">
        <f t="shared" si="186"/>
        <v>0</v>
      </c>
      <c r="BU257" s="9"/>
      <c r="BV257" s="10"/>
      <c r="BW257" s="11"/>
      <c r="BX257" s="11"/>
      <c r="BY257" s="11"/>
      <c r="BZ257" s="11"/>
      <c r="CA257" s="11"/>
      <c r="CB257" s="12"/>
      <c r="CC257" s="13"/>
      <c r="CD257" s="14"/>
      <c r="CL257" s="11"/>
      <c r="CM257" s="11"/>
      <c r="CN257" s="11"/>
      <c r="CO257" s="11"/>
      <c r="CP257" s="11"/>
      <c r="CQ257" s="49"/>
      <c r="CR257" s="46"/>
      <c r="CS257" s="53"/>
      <c r="CT257" s="53"/>
      <c r="CU257" s="53"/>
      <c r="CV257" s="53"/>
      <c r="CW257" s="49"/>
      <c r="CX257" s="49"/>
    </row>
    <row r="258" spans="1:102" hidden="1" x14ac:dyDescent="0.25">
      <c r="A258" s="1" t="s">
        <v>247</v>
      </c>
      <c r="B258" s="1" t="s">
        <v>248</v>
      </c>
      <c r="C258" s="1" t="s">
        <v>248</v>
      </c>
      <c r="D258" s="2" t="s">
        <v>58</v>
      </c>
      <c r="E258" s="2" t="s">
        <v>58</v>
      </c>
      <c r="F258" s="3" t="e">
        <f>IF(BE258="S",
IF(#REF!+BM258=2018,
IF(#REF!=1,"18-19/1",
IF(#REF!=2,"18-19/2",
IF(#REF!=3,"19-20/1",
IF(#REF!=4,"19-20/2",
IF(#REF!=5,"20-21/1",
IF(#REF!=6,"20-21/2",
IF(#REF!=7,"21-22/1",
IF(#REF!=8,"21-22/2","Hata1")))))))),
IF(#REF!+BM258=2019,
IF(#REF!=1,"19-20/1",
IF(#REF!=2,"19-20/2",
IF(#REF!=3,"20-21/1",
IF(#REF!=4,"20-21/2",
IF(#REF!=5,"21-22/1",
IF(#REF!=6,"21-22/2",
IF(#REF!=7,"22-23/1",
IF(#REF!=8,"22-23/2","Hata2")))))))),
IF(#REF!+BM258=2020,
IF(#REF!=1,"20-21/1",
IF(#REF!=2,"20-21/2",
IF(#REF!=3,"21-22/1",
IF(#REF!=4,"21-22/2",
IF(#REF!=5,"22-23/1",
IF(#REF!=6,"22-23/2",
IF(#REF!=7,"23-24/1",
IF(#REF!=8,"23-24/2","Hata3")))))))),
IF(#REF!+BM258=2021,
IF(#REF!=1,"21-22/1",
IF(#REF!=2,"21-22/2",
IF(#REF!=3,"22-23/1",
IF(#REF!=4,"22-23/2",
IF(#REF!=5,"23-24/1",
IF(#REF!=6,"23-24/2",
IF(#REF!=7,"24-25/1",
IF(#REF!=8,"24-25/2","Hata4")))))))),
IF(#REF!+BM258=2022,
IF(#REF!=1,"22-23/1",
IF(#REF!=2,"22-23/2",
IF(#REF!=3,"23-24/1",
IF(#REF!=4,"23-24/2",
IF(#REF!=5,"24-25/1",
IF(#REF!=6,"24-25/2",
IF(#REF!=7,"25-26/1",
IF(#REF!=8,"25-26/2","Hata5")))))))),
IF(#REF!+BM258=2023,
IF(#REF!=1,"23-24/1",
IF(#REF!=2,"23-24/2",
IF(#REF!=3,"24-25/1",
IF(#REF!=4,"24-25/2",
IF(#REF!=5,"25-26/1",
IF(#REF!=6,"25-26/2",
IF(#REF!=7,"26-27/1",
IF(#REF!=8,"26-27/2","Hata6")))))))),
)))))),
IF(BE258="T",
IF(#REF!+BM258=2018,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8" s="1" t="s">
        <v>158</v>
      </c>
      <c r="J258" s="1">
        <v>4234780</v>
      </c>
      <c r="L258" s="2">
        <v>3551</v>
      </c>
      <c r="N258" s="2">
        <v>4</v>
      </c>
      <c r="O258" s="6">
        <f t="shared" si="181"/>
        <v>2</v>
      </c>
      <c r="P258" s="2">
        <f t="shared" si="182"/>
        <v>2</v>
      </c>
      <c r="Q258" s="2">
        <v>0</v>
      </c>
      <c r="R258" s="2">
        <v>0</v>
      </c>
      <c r="S258" s="2">
        <v>2</v>
      </c>
      <c r="X258" s="3">
        <v>4</v>
      </c>
      <c r="Y258" s="1">
        <f>VLOOKUP($X258,[33]ölçme_sistemleri!I:L,2,FALSE)</f>
        <v>0</v>
      </c>
      <c r="Z258" s="1">
        <f>VLOOKUP($X258,[33]ölçme_sistemleri!I:L,3,FALSE)</f>
        <v>1</v>
      </c>
      <c r="AA258" s="1">
        <f>VLOOKUP($X258,[33]ölçme_sistemleri!I:L,4,FALSE)</f>
        <v>1</v>
      </c>
      <c r="AB258" s="1">
        <f>$O258*[33]ölçme_sistemleri!J$13</f>
        <v>2</v>
      </c>
      <c r="AC258" s="1">
        <f>$O258*[33]ölçme_sistemleri!K$13</f>
        <v>4</v>
      </c>
      <c r="AD258" s="1">
        <f>$O258*[33]ölçme_sistemleri!L$13</f>
        <v>6</v>
      </c>
      <c r="AE258" s="1">
        <f t="shared" si="161"/>
        <v>0</v>
      </c>
      <c r="AF258" s="1">
        <f t="shared" si="162"/>
        <v>4</v>
      </c>
      <c r="AG258" s="1">
        <f t="shared" si="163"/>
        <v>6</v>
      </c>
      <c r="AH258" s="1">
        <f t="shared" si="164"/>
        <v>10</v>
      </c>
      <c r="AI258" s="1">
        <v>14</v>
      </c>
      <c r="AJ258" s="1">
        <f>VLOOKUP(X258,[33]ölçme_sistemleri!I:M,5,FALSE)</f>
        <v>1</v>
      </c>
      <c r="AK258" s="1">
        <f t="shared" si="165"/>
        <v>140</v>
      </c>
      <c r="AL258" s="1">
        <f>((Q258+S258)*AI258)*2</f>
        <v>56</v>
      </c>
      <c r="AM258" s="1">
        <f>VLOOKUP(X258,[33]ölçme_sistemleri!I:N,6,FALSE)</f>
        <v>2</v>
      </c>
      <c r="AN258" s="1">
        <v>2</v>
      </c>
      <c r="AO258" s="1">
        <f t="shared" si="166"/>
        <v>4</v>
      </c>
      <c r="AP258" s="1">
        <v>14</v>
      </c>
      <c r="AQ258" s="1">
        <f t="shared" si="167"/>
        <v>28</v>
      </c>
      <c r="AR258" s="1">
        <f t="shared" si="168"/>
        <v>98</v>
      </c>
      <c r="AS258" s="1">
        <f t="shared" si="187"/>
        <v>25</v>
      </c>
      <c r="AT258" s="1">
        <f t="shared" si="170"/>
        <v>4</v>
      </c>
      <c r="AU258" s="1">
        <f t="shared" si="171"/>
        <v>0</v>
      </c>
      <c r="AV258" s="1">
        <f t="shared" si="172"/>
        <v>0</v>
      </c>
      <c r="AW258" s="1">
        <f t="shared" si="173"/>
        <v>0</v>
      </c>
      <c r="AX258" s="1">
        <f t="shared" si="174"/>
        <v>0</v>
      </c>
      <c r="AY258" s="1">
        <f t="shared" si="175"/>
        <v>-10</v>
      </c>
      <c r="AZ258" s="1">
        <f t="shared" si="176"/>
        <v>0</v>
      </c>
      <c r="BA258" s="1">
        <f t="shared" si="177"/>
        <v>-56</v>
      </c>
      <c r="BB258" s="1">
        <f t="shared" si="178"/>
        <v>0</v>
      </c>
      <c r="BC258" s="1">
        <f t="shared" si="179"/>
        <v>-4</v>
      </c>
      <c r="BD258" s="1">
        <f t="shared" si="180"/>
        <v>0</v>
      </c>
      <c r="BE258" s="1" t="s">
        <v>65</v>
      </c>
      <c r="BF258" s="1">
        <f t="shared" si="183"/>
        <v>28</v>
      </c>
      <c r="BG258" s="1">
        <f t="shared" si="184"/>
        <v>28</v>
      </c>
      <c r="BH258" s="1">
        <f t="shared" si="185"/>
        <v>1</v>
      </c>
      <c r="BI258" s="1" t="e">
        <f>IF(BH258-#REF!=0,"DOĞRU","YANLIŞ")</f>
        <v>#REF!</v>
      </c>
      <c r="BJ258" s="1" t="e">
        <f>#REF!-BH258</f>
        <v>#REF!</v>
      </c>
      <c r="BK258" s="1">
        <v>1</v>
      </c>
      <c r="BM258" s="1">
        <v>0</v>
      </c>
      <c r="BO258" s="1">
        <v>4</v>
      </c>
      <c r="BT258" s="8">
        <f t="shared" si="186"/>
        <v>0</v>
      </c>
      <c r="BU258" s="9"/>
      <c r="BV258" s="10"/>
      <c r="BW258" s="11"/>
      <c r="BX258" s="11"/>
      <c r="BY258" s="11"/>
      <c r="BZ258" s="11"/>
      <c r="CA258" s="11"/>
      <c r="CB258" s="12"/>
      <c r="CC258" s="13"/>
      <c r="CD258" s="14"/>
      <c r="CL258" s="11"/>
      <c r="CM258" s="11"/>
      <c r="CN258" s="11"/>
      <c r="CO258" s="11"/>
      <c r="CP258" s="11"/>
      <c r="CQ258" s="46"/>
      <c r="CR258" s="46"/>
      <c r="CS258" s="48"/>
      <c r="CT258" s="48"/>
      <c r="CU258" s="48"/>
      <c r="CV258" s="48"/>
      <c r="CW258" s="49"/>
      <c r="CX258" s="49"/>
    </row>
    <row r="259" spans="1:102" hidden="1" x14ac:dyDescent="0.25">
      <c r="A259" s="1" t="s">
        <v>247</v>
      </c>
      <c r="B259" s="43" t="s">
        <v>248</v>
      </c>
      <c r="C259" s="1" t="s">
        <v>248</v>
      </c>
      <c r="D259" s="2" t="s">
        <v>58</v>
      </c>
      <c r="E259" s="2" t="s">
        <v>58</v>
      </c>
      <c r="F259" s="3" t="e">
        <f>IF(BE259="S",
IF(#REF!+BM259=2018,
IF(#REF!=1,"18-19/1",
IF(#REF!=2,"18-19/2",
IF(#REF!=3,"19-20/1",
IF(#REF!=4,"19-20/2",
IF(#REF!=5,"20-21/1",
IF(#REF!=6,"20-21/2",
IF(#REF!=7,"21-22/1",
IF(#REF!=8,"21-22/2","Hata1")))))))),
IF(#REF!+BM259=2019,
IF(#REF!=1,"19-20/1",
IF(#REF!=2,"19-20/2",
IF(#REF!=3,"20-21/1",
IF(#REF!=4,"20-21/2",
IF(#REF!=5,"21-22/1",
IF(#REF!=6,"21-22/2",
IF(#REF!=7,"22-23/1",
IF(#REF!=8,"22-23/2","Hata2")))))))),
IF(#REF!+BM259=2020,
IF(#REF!=1,"20-21/1",
IF(#REF!=2,"20-21/2",
IF(#REF!=3,"21-22/1",
IF(#REF!=4,"21-22/2",
IF(#REF!=5,"22-23/1",
IF(#REF!=6,"22-23/2",
IF(#REF!=7,"23-24/1",
IF(#REF!=8,"23-24/2","Hata3")))))))),
IF(#REF!+BM259=2021,
IF(#REF!=1,"21-22/1",
IF(#REF!=2,"21-22/2",
IF(#REF!=3,"22-23/1",
IF(#REF!=4,"22-23/2",
IF(#REF!=5,"23-24/1",
IF(#REF!=6,"23-24/2",
IF(#REF!=7,"24-25/1",
IF(#REF!=8,"24-25/2","Hata4")))))))),
IF(#REF!+BM259=2022,
IF(#REF!=1,"22-23/1",
IF(#REF!=2,"22-23/2",
IF(#REF!=3,"23-24/1",
IF(#REF!=4,"23-24/2",
IF(#REF!=5,"24-25/1",
IF(#REF!=6,"24-25/2",
IF(#REF!=7,"25-26/1",
IF(#REF!=8,"25-26/2","Hata5")))))))),
IF(#REF!+BM259=2023,
IF(#REF!=1,"23-24/1",
IF(#REF!=2,"23-24/2",
IF(#REF!=3,"24-25/1",
IF(#REF!=4,"24-25/2",
IF(#REF!=5,"25-26/1",
IF(#REF!=6,"25-26/2",
IF(#REF!=7,"26-27/1",
IF(#REF!=8,"26-27/2","Hata6")))))))),
)))))),
IF(BE259="T",
IF(#REF!+BM259=2018,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IF(#REF!+BM259=2019,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IF(#REF!+BM259=2020,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IF(#REF!+BM259=2021,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IF(#REF!+BM259=2022,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IF(#REF!+BM259=2023,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59" s="1" t="s">
        <v>141</v>
      </c>
      <c r="J259" s="1">
        <v>4234771</v>
      </c>
      <c r="L259" s="2">
        <v>3551</v>
      </c>
      <c r="N259" s="2">
        <v>4</v>
      </c>
      <c r="O259" s="6">
        <f t="shared" si="181"/>
        <v>2</v>
      </c>
      <c r="P259" s="2">
        <f t="shared" si="182"/>
        <v>2</v>
      </c>
      <c r="Q259" s="2">
        <v>0</v>
      </c>
      <c r="R259" s="2">
        <v>0</v>
      </c>
      <c r="S259" s="2">
        <v>2</v>
      </c>
      <c r="X259" s="3">
        <v>4</v>
      </c>
      <c r="Y259" s="1">
        <f>VLOOKUP($X259,[33]ölçme_sistemleri!I:L,2,FALSE)</f>
        <v>0</v>
      </c>
      <c r="Z259" s="1">
        <f>VLOOKUP($X259,[33]ölçme_sistemleri!I:L,3,FALSE)</f>
        <v>1</v>
      </c>
      <c r="AA259" s="1">
        <f>VLOOKUP($X259,[33]ölçme_sistemleri!I:L,4,FALSE)</f>
        <v>1</v>
      </c>
      <c r="AB259" s="1">
        <f>$O259*[33]ölçme_sistemleri!J$13</f>
        <v>2</v>
      </c>
      <c r="AC259" s="1">
        <f>$O259*[33]ölçme_sistemleri!K$13</f>
        <v>4</v>
      </c>
      <c r="AD259" s="1">
        <f>$O259*[33]ölçme_sistemleri!L$13</f>
        <v>6</v>
      </c>
      <c r="AE259" s="1">
        <f t="shared" si="161"/>
        <v>0</v>
      </c>
      <c r="AF259" s="1">
        <f t="shared" si="162"/>
        <v>4</v>
      </c>
      <c r="AG259" s="1">
        <f t="shared" si="163"/>
        <v>6</v>
      </c>
      <c r="AH259" s="1">
        <f t="shared" si="164"/>
        <v>10</v>
      </c>
      <c r="AI259" s="1">
        <v>14</v>
      </c>
      <c r="AJ259" s="1">
        <f>VLOOKUP(X259,[33]ölçme_sistemleri!I:M,5,FALSE)</f>
        <v>1</v>
      </c>
      <c r="AK259" s="1">
        <f t="shared" si="165"/>
        <v>140</v>
      </c>
      <c r="AL259" s="1">
        <f>((Q259+S259)*AI259)*2</f>
        <v>56</v>
      </c>
      <c r="AM259" s="1">
        <f>VLOOKUP(X259,[33]ölçme_sistemleri!I:N,6,FALSE)</f>
        <v>2</v>
      </c>
      <c r="AN259" s="1">
        <v>2</v>
      </c>
      <c r="AO259" s="1">
        <f t="shared" si="166"/>
        <v>4</v>
      </c>
      <c r="AP259" s="1">
        <v>14</v>
      </c>
      <c r="AQ259" s="1">
        <f t="shared" si="167"/>
        <v>28</v>
      </c>
      <c r="AR259" s="1">
        <f t="shared" si="168"/>
        <v>98</v>
      </c>
      <c r="AS259" s="1">
        <f t="shared" si="187"/>
        <v>25</v>
      </c>
      <c r="AT259" s="1">
        <f t="shared" si="170"/>
        <v>4</v>
      </c>
      <c r="AU259" s="1">
        <f t="shared" si="171"/>
        <v>0</v>
      </c>
      <c r="AV259" s="1">
        <f t="shared" si="172"/>
        <v>0</v>
      </c>
      <c r="AW259" s="1">
        <f t="shared" si="173"/>
        <v>0</v>
      </c>
      <c r="AX259" s="1">
        <f t="shared" si="174"/>
        <v>0</v>
      </c>
      <c r="AY259" s="1">
        <f t="shared" si="175"/>
        <v>-10</v>
      </c>
      <c r="AZ259" s="1">
        <f t="shared" si="176"/>
        <v>0</v>
      </c>
      <c r="BA259" s="1">
        <f t="shared" si="177"/>
        <v>-56</v>
      </c>
      <c r="BB259" s="1">
        <f t="shared" si="178"/>
        <v>0</v>
      </c>
      <c r="BC259" s="1">
        <f t="shared" si="179"/>
        <v>-4</v>
      </c>
      <c r="BD259" s="1">
        <f t="shared" si="180"/>
        <v>0</v>
      </c>
      <c r="BE259" s="1" t="s">
        <v>65</v>
      </c>
      <c r="BF259" s="1">
        <f t="shared" si="183"/>
        <v>28</v>
      </c>
      <c r="BG259" s="1">
        <f t="shared" si="184"/>
        <v>28</v>
      </c>
      <c r="BH259" s="1">
        <f t="shared" si="185"/>
        <v>1</v>
      </c>
      <c r="BI259" s="1" t="e">
        <f>IF(BH259-#REF!=0,"DOĞRU","YANLIŞ")</f>
        <v>#REF!</v>
      </c>
      <c r="BJ259" s="1" t="e">
        <f>#REF!-BH259</f>
        <v>#REF!</v>
      </c>
      <c r="BK259" s="1">
        <v>1</v>
      </c>
      <c r="BM259" s="1">
        <v>0</v>
      </c>
      <c r="BO259" s="1">
        <v>4</v>
      </c>
      <c r="BT259" s="8">
        <f t="shared" si="186"/>
        <v>0</v>
      </c>
      <c r="BU259" s="9"/>
      <c r="BV259" s="10"/>
      <c r="BW259" s="11"/>
      <c r="BX259" s="11"/>
      <c r="BY259" s="11"/>
      <c r="BZ259" s="11"/>
      <c r="CA259" s="11"/>
      <c r="CB259" s="12"/>
      <c r="CC259" s="13"/>
      <c r="CD259" s="14"/>
      <c r="CL259" s="11"/>
      <c r="CM259" s="11"/>
      <c r="CN259" s="11"/>
      <c r="CO259" s="11"/>
      <c r="CP259" s="11"/>
      <c r="CQ259" s="54"/>
      <c r="CR259" s="46"/>
      <c r="CS259" s="54"/>
      <c r="CT259" s="48"/>
      <c r="CU259" s="48"/>
      <c r="CV259" s="48"/>
      <c r="CW259" s="49"/>
      <c r="CX259" s="49"/>
    </row>
    <row r="260" spans="1:102" hidden="1" x14ac:dyDescent="0.25">
      <c r="A260" s="1" t="s">
        <v>247</v>
      </c>
      <c r="B260" s="43" t="s">
        <v>248</v>
      </c>
      <c r="C260" s="1" t="s">
        <v>248</v>
      </c>
      <c r="D260" s="2" t="s">
        <v>58</v>
      </c>
      <c r="E260" s="2" t="s">
        <v>58</v>
      </c>
      <c r="F260" s="3" t="e">
        <f>IF(BE260="S",
IF(#REF!+BM260=2018,
IF(#REF!=1,"18-19/1",
IF(#REF!=2,"18-19/2",
IF(#REF!=3,"19-20/1",
IF(#REF!=4,"19-20/2",
IF(#REF!=5,"20-21/1",
IF(#REF!=6,"20-21/2",
IF(#REF!=7,"21-22/1",
IF(#REF!=8,"21-22/2","Hata1")))))))),
IF(#REF!+BM260=2019,
IF(#REF!=1,"19-20/1",
IF(#REF!=2,"19-20/2",
IF(#REF!=3,"20-21/1",
IF(#REF!=4,"20-21/2",
IF(#REF!=5,"21-22/1",
IF(#REF!=6,"21-22/2",
IF(#REF!=7,"22-23/1",
IF(#REF!=8,"22-23/2","Hata2")))))))),
IF(#REF!+BM260=2020,
IF(#REF!=1,"20-21/1",
IF(#REF!=2,"20-21/2",
IF(#REF!=3,"21-22/1",
IF(#REF!=4,"21-22/2",
IF(#REF!=5,"22-23/1",
IF(#REF!=6,"22-23/2",
IF(#REF!=7,"23-24/1",
IF(#REF!=8,"23-24/2","Hata3")))))))),
IF(#REF!+BM260=2021,
IF(#REF!=1,"21-22/1",
IF(#REF!=2,"21-22/2",
IF(#REF!=3,"22-23/1",
IF(#REF!=4,"22-23/2",
IF(#REF!=5,"23-24/1",
IF(#REF!=6,"23-24/2",
IF(#REF!=7,"24-25/1",
IF(#REF!=8,"24-25/2","Hata4")))))))),
IF(#REF!+BM260=2022,
IF(#REF!=1,"22-23/1",
IF(#REF!=2,"22-23/2",
IF(#REF!=3,"23-24/1",
IF(#REF!=4,"23-24/2",
IF(#REF!=5,"24-25/1",
IF(#REF!=6,"24-25/2",
IF(#REF!=7,"25-26/1",
IF(#REF!=8,"25-26/2","Hata5")))))))),
IF(#REF!+BM260=2023,
IF(#REF!=1,"23-24/1",
IF(#REF!=2,"23-24/2",
IF(#REF!=3,"24-25/1",
IF(#REF!=4,"24-25/2",
IF(#REF!=5,"25-26/1",
IF(#REF!=6,"25-26/2",
IF(#REF!=7,"26-27/1",
IF(#REF!=8,"26-27/2","Hata6")))))))),
)))))),
IF(BE260="T",
IF(#REF!+BM260=2018,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0" s="1" t="s">
        <v>68</v>
      </c>
      <c r="J260" s="1">
        <v>4234788</v>
      </c>
      <c r="L260" s="2">
        <v>3551</v>
      </c>
      <c r="N260" s="2">
        <v>4</v>
      </c>
      <c r="O260" s="6">
        <f t="shared" si="181"/>
        <v>2</v>
      </c>
      <c r="P260" s="2">
        <f t="shared" si="182"/>
        <v>2</v>
      </c>
      <c r="Q260" s="2">
        <v>0</v>
      </c>
      <c r="R260" s="2">
        <v>0</v>
      </c>
      <c r="S260" s="2">
        <v>2</v>
      </c>
      <c r="X260" s="3">
        <v>4</v>
      </c>
      <c r="Y260" s="1">
        <f>VLOOKUP($X260,[33]ölçme_sistemleri!I:L,2,FALSE)</f>
        <v>0</v>
      </c>
      <c r="Z260" s="1">
        <f>VLOOKUP($X260,[33]ölçme_sistemleri!I:L,3,FALSE)</f>
        <v>1</v>
      </c>
      <c r="AA260" s="1">
        <f>VLOOKUP($X260,[33]ölçme_sistemleri!I:L,4,FALSE)</f>
        <v>1</v>
      </c>
      <c r="AB260" s="1">
        <f>$O260*[33]ölçme_sistemleri!J$13</f>
        <v>2</v>
      </c>
      <c r="AC260" s="1">
        <f>$O260*[33]ölçme_sistemleri!K$13</f>
        <v>4</v>
      </c>
      <c r="AD260" s="1">
        <f>$O260*[33]ölçme_sistemleri!L$13</f>
        <v>6</v>
      </c>
      <c r="AE260" s="1">
        <f t="shared" si="161"/>
        <v>0</v>
      </c>
      <c r="AF260" s="1">
        <f t="shared" si="162"/>
        <v>4</v>
      </c>
      <c r="AG260" s="1">
        <f t="shared" si="163"/>
        <v>6</v>
      </c>
      <c r="AH260" s="1">
        <f t="shared" si="164"/>
        <v>10</v>
      </c>
      <c r="AI260" s="1">
        <v>14</v>
      </c>
      <c r="AJ260" s="1">
        <f>VLOOKUP(X260,[33]ölçme_sistemleri!I:M,5,FALSE)</f>
        <v>1</v>
      </c>
      <c r="AK260" s="1">
        <f t="shared" si="165"/>
        <v>140</v>
      </c>
      <c r="AL260" s="1">
        <f>((Q260+S260)*AI260)*2</f>
        <v>56</v>
      </c>
      <c r="AM260" s="1">
        <f>VLOOKUP(X260,[33]ölçme_sistemleri!I:N,6,FALSE)</f>
        <v>2</v>
      </c>
      <c r="AN260" s="1">
        <v>2</v>
      </c>
      <c r="AO260" s="1">
        <f t="shared" si="166"/>
        <v>4</v>
      </c>
      <c r="AP260" s="1">
        <v>14</v>
      </c>
      <c r="AQ260" s="1">
        <f t="shared" si="167"/>
        <v>28</v>
      </c>
      <c r="AR260" s="1">
        <f t="shared" si="168"/>
        <v>98</v>
      </c>
      <c r="AS260" s="1">
        <f t="shared" si="187"/>
        <v>25</v>
      </c>
      <c r="AT260" s="1">
        <f t="shared" si="170"/>
        <v>4</v>
      </c>
      <c r="AU260" s="1">
        <f t="shared" si="171"/>
        <v>0</v>
      </c>
      <c r="AV260" s="1">
        <f t="shared" si="172"/>
        <v>0</v>
      </c>
      <c r="AW260" s="1">
        <f t="shared" si="173"/>
        <v>0</v>
      </c>
      <c r="AX260" s="1">
        <f t="shared" si="174"/>
        <v>0</v>
      </c>
      <c r="AY260" s="1">
        <f t="shared" si="175"/>
        <v>-10</v>
      </c>
      <c r="AZ260" s="1">
        <f t="shared" si="176"/>
        <v>0</v>
      </c>
      <c r="BA260" s="1">
        <f t="shared" si="177"/>
        <v>-56</v>
      </c>
      <c r="BB260" s="1">
        <f t="shared" si="178"/>
        <v>0</v>
      </c>
      <c r="BC260" s="1">
        <f t="shared" si="179"/>
        <v>-4</v>
      </c>
      <c r="BD260" s="1">
        <f t="shared" si="180"/>
        <v>0</v>
      </c>
      <c r="BE260" s="1" t="s">
        <v>65</v>
      </c>
      <c r="BF260" s="1">
        <f t="shared" si="183"/>
        <v>28</v>
      </c>
      <c r="BG260" s="1">
        <f t="shared" si="184"/>
        <v>28</v>
      </c>
      <c r="BH260" s="1">
        <f t="shared" si="185"/>
        <v>1</v>
      </c>
      <c r="BI260" s="1" t="e">
        <f>IF(BH260-#REF!=0,"DOĞRU","YANLIŞ")</f>
        <v>#REF!</v>
      </c>
      <c r="BJ260" s="1" t="e">
        <f>#REF!-BH260</f>
        <v>#REF!</v>
      </c>
      <c r="BK260" s="1">
        <v>1</v>
      </c>
      <c r="BM260" s="1">
        <v>0</v>
      </c>
      <c r="BO260" s="1">
        <v>4</v>
      </c>
      <c r="BT260" s="8">
        <f t="shared" si="186"/>
        <v>0</v>
      </c>
      <c r="BU260" s="9"/>
      <c r="BV260" s="10"/>
      <c r="BW260" s="11"/>
      <c r="BX260" s="11"/>
      <c r="BY260" s="11"/>
      <c r="BZ260" s="11"/>
      <c r="CA260" s="11"/>
      <c r="CB260" s="12"/>
      <c r="CC260" s="13"/>
      <c r="CD260" s="14"/>
      <c r="CL260" s="11"/>
      <c r="CM260" s="11"/>
      <c r="CN260" s="11"/>
      <c r="CO260" s="11"/>
      <c r="CP260" s="11"/>
      <c r="CQ260" s="54"/>
      <c r="CR260" s="46"/>
      <c r="CS260" s="48"/>
      <c r="CT260" s="48"/>
      <c r="CU260" s="48"/>
      <c r="CV260" s="48"/>
      <c r="CW260" s="49"/>
      <c r="CX260" s="49"/>
    </row>
    <row r="261" spans="1:102" hidden="1" x14ac:dyDescent="0.25">
      <c r="A261" s="1" t="s">
        <v>247</v>
      </c>
      <c r="B261" s="43" t="s">
        <v>248</v>
      </c>
      <c r="C261" s="1" t="s">
        <v>248</v>
      </c>
      <c r="D261" s="2" t="s">
        <v>58</v>
      </c>
      <c r="E261" s="2" t="s">
        <v>58</v>
      </c>
      <c r="F261" s="3" t="e">
        <f>IF(BE261="S",
IF(#REF!+BM261=2018,
IF(#REF!=1,"18-19/1",
IF(#REF!=2,"18-19/2",
IF(#REF!=3,"19-20/1",
IF(#REF!=4,"19-20/2",
IF(#REF!=5,"20-21/1",
IF(#REF!=6,"20-21/2",
IF(#REF!=7,"21-22/1",
IF(#REF!=8,"21-22/2","Hata1")))))))),
IF(#REF!+BM261=2019,
IF(#REF!=1,"19-20/1",
IF(#REF!=2,"19-20/2",
IF(#REF!=3,"20-21/1",
IF(#REF!=4,"20-21/2",
IF(#REF!=5,"21-22/1",
IF(#REF!=6,"21-22/2",
IF(#REF!=7,"22-23/1",
IF(#REF!=8,"22-23/2","Hata2")))))))),
IF(#REF!+BM261=2020,
IF(#REF!=1,"20-21/1",
IF(#REF!=2,"20-21/2",
IF(#REF!=3,"21-22/1",
IF(#REF!=4,"21-22/2",
IF(#REF!=5,"22-23/1",
IF(#REF!=6,"22-23/2",
IF(#REF!=7,"23-24/1",
IF(#REF!=8,"23-24/2","Hata3")))))))),
IF(#REF!+BM261=2021,
IF(#REF!=1,"21-22/1",
IF(#REF!=2,"21-22/2",
IF(#REF!=3,"22-23/1",
IF(#REF!=4,"22-23/2",
IF(#REF!=5,"23-24/1",
IF(#REF!=6,"23-24/2",
IF(#REF!=7,"24-25/1",
IF(#REF!=8,"24-25/2","Hata4")))))))),
IF(#REF!+BM261=2022,
IF(#REF!=1,"22-23/1",
IF(#REF!=2,"22-23/2",
IF(#REF!=3,"23-24/1",
IF(#REF!=4,"23-24/2",
IF(#REF!=5,"24-25/1",
IF(#REF!=6,"24-25/2",
IF(#REF!=7,"25-26/1",
IF(#REF!=8,"25-26/2","Hata5")))))))),
IF(#REF!+BM261=2023,
IF(#REF!=1,"23-24/1",
IF(#REF!=2,"23-24/2",
IF(#REF!=3,"24-25/1",
IF(#REF!=4,"24-25/2",
IF(#REF!=5,"25-26/1",
IF(#REF!=6,"25-26/2",
IF(#REF!=7,"26-27/1",
IF(#REF!=8,"26-27/2","Hata6")))))))),
)))))),
IF(BE261="T",
IF(#REF!+BM261=2018,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1" s="1" t="s">
        <v>75</v>
      </c>
      <c r="J261" s="1">
        <v>4234776</v>
      </c>
      <c r="L261" s="2">
        <v>3551</v>
      </c>
      <c r="N261" s="2">
        <v>4</v>
      </c>
      <c r="O261" s="6">
        <f t="shared" si="181"/>
        <v>2</v>
      </c>
      <c r="P261" s="2">
        <f t="shared" si="182"/>
        <v>2</v>
      </c>
      <c r="Q261" s="2">
        <v>0</v>
      </c>
      <c r="R261" s="2">
        <v>0</v>
      </c>
      <c r="S261" s="2">
        <v>2</v>
      </c>
      <c r="X261" s="3">
        <v>4</v>
      </c>
      <c r="Y261" s="1">
        <f>VLOOKUP($X261,[33]ölçme_sistemleri!I:L,2,FALSE)</f>
        <v>0</v>
      </c>
      <c r="Z261" s="1">
        <f>VLOOKUP($X261,[33]ölçme_sistemleri!I:L,3,FALSE)</f>
        <v>1</v>
      </c>
      <c r="AA261" s="1">
        <f>VLOOKUP($X261,[33]ölçme_sistemleri!I:L,4,FALSE)</f>
        <v>1</v>
      </c>
      <c r="AB261" s="1">
        <f>$O261*[33]ölçme_sistemleri!J$13</f>
        <v>2</v>
      </c>
      <c r="AC261" s="1">
        <f>$O261*[33]ölçme_sistemleri!K$13</f>
        <v>4</v>
      </c>
      <c r="AD261" s="1">
        <f>$O261*[33]ölçme_sistemleri!L$13</f>
        <v>6</v>
      </c>
      <c r="AE261" s="1">
        <f t="shared" si="161"/>
        <v>0</v>
      </c>
      <c r="AF261" s="1">
        <f t="shared" si="162"/>
        <v>4</v>
      </c>
      <c r="AG261" s="1">
        <f t="shared" si="163"/>
        <v>6</v>
      </c>
      <c r="AH261" s="1">
        <f t="shared" si="164"/>
        <v>10</v>
      </c>
      <c r="AI261" s="1">
        <v>14</v>
      </c>
      <c r="AJ261" s="1">
        <f>VLOOKUP(X261,[33]ölçme_sistemleri!I:M,5,FALSE)</f>
        <v>1</v>
      </c>
      <c r="AK261" s="1">
        <f t="shared" si="165"/>
        <v>140</v>
      </c>
      <c r="AL261" s="1">
        <f>((Q261+S261)*AI261)*2</f>
        <v>56</v>
      </c>
      <c r="AM261" s="1">
        <f>VLOOKUP(X261,[33]ölçme_sistemleri!I:N,6,FALSE)</f>
        <v>2</v>
      </c>
      <c r="AN261" s="1">
        <v>2</v>
      </c>
      <c r="AO261" s="1">
        <f t="shared" si="166"/>
        <v>4</v>
      </c>
      <c r="AP261" s="1">
        <v>14</v>
      </c>
      <c r="AQ261" s="1">
        <f t="shared" si="167"/>
        <v>28</v>
      </c>
      <c r="AR261" s="1">
        <f t="shared" si="168"/>
        <v>98</v>
      </c>
      <c r="AS261" s="1">
        <f t="shared" si="187"/>
        <v>25</v>
      </c>
      <c r="AT261" s="1">
        <f t="shared" si="170"/>
        <v>4</v>
      </c>
      <c r="AU261" s="1">
        <f t="shared" si="171"/>
        <v>0</v>
      </c>
      <c r="AV261" s="1">
        <f t="shared" si="172"/>
        <v>0</v>
      </c>
      <c r="AW261" s="1">
        <f t="shared" si="173"/>
        <v>0</v>
      </c>
      <c r="AX261" s="1">
        <f t="shared" si="174"/>
        <v>0</v>
      </c>
      <c r="AY261" s="1">
        <f t="shared" si="175"/>
        <v>-10</v>
      </c>
      <c r="AZ261" s="1">
        <f t="shared" si="176"/>
        <v>0</v>
      </c>
      <c r="BA261" s="1">
        <f t="shared" si="177"/>
        <v>-56</v>
      </c>
      <c r="BB261" s="1">
        <f t="shared" si="178"/>
        <v>0</v>
      </c>
      <c r="BC261" s="1">
        <f t="shared" si="179"/>
        <v>-4</v>
      </c>
      <c r="BD261" s="1">
        <f t="shared" si="180"/>
        <v>0</v>
      </c>
      <c r="BE261" s="1" t="s">
        <v>65</v>
      </c>
      <c r="BF261" s="1">
        <f t="shared" si="183"/>
        <v>28</v>
      </c>
      <c r="BG261" s="1">
        <f t="shared" si="184"/>
        <v>28</v>
      </c>
      <c r="BH261" s="1">
        <f t="shared" si="185"/>
        <v>1</v>
      </c>
      <c r="BI261" s="1" t="e">
        <f>IF(BH261-#REF!=0,"DOĞRU","YANLIŞ")</f>
        <v>#REF!</v>
      </c>
      <c r="BJ261" s="1" t="e">
        <f>#REF!-BH261</f>
        <v>#REF!</v>
      </c>
      <c r="BK261" s="1">
        <v>1</v>
      </c>
      <c r="BM261" s="1">
        <v>0</v>
      </c>
      <c r="BO261" s="1">
        <v>4</v>
      </c>
      <c r="BT261" s="8">
        <f t="shared" si="186"/>
        <v>0</v>
      </c>
      <c r="BU261" s="9"/>
      <c r="BV261" s="10"/>
      <c r="BW261" s="11"/>
      <c r="BX261" s="11"/>
      <c r="BY261" s="11"/>
      <c r="BZ261" s="11"/>
      <c r="CA261" s="11"/>
      <c r="CB261" s="12"/>
      <c r="CC261" s="13"/>
      <c r="CD261" s="14"/>
      <c r="CL261" s="11"/>
      <c r="CM261" s="11"/>
      <c r="CN261" s="11"/>
      <c r="CO261" s="11"/>
      <c r="CP261" s="11"/>
      <c r="CQ261" s="49"/>
      <c r="CR261" s="46"/>
      <c r="CS261" s="54"/>
      <c r="CT261" s="53"/>
      <c r="CU261" s="53"/>
      <c r="CV261" s="53"/>
      <c r="CW261" s="49"/>
      <c r="CX261" s="49"/>
    </row>
    <row r="262" spans="1:102" hidden="1" x14ac:dyDescent="0.25">
      <c r="A262" s="1" t="s">
        <v>76</v>
      </c>
      <c r="B262" s="1" t="s">
        <v>77</v>
      </c>
      <c r="C262" s="1" t="s">
        <v>77</v>
      </c>
      <c r="D262" s="2" t="s">
        <v>58</v>
      </c>
      <c r="E262" s="2" t="s">
        <v>58</v>
      </c>
      <c r="F262" s="3" t="e">
        <f>IF(BE262="S",
IF(#REF!+BM262=2018,
IF(#REF!=1,"18-19/1",
IF(#REF!=2,"18-19/2",
IF(#REF!=3,"19-20/1",
IF(#REF!=4,"19-20/2",
IF(#REF!=5,"20-21/1",
IF(#REF!=6,"20-21/2",
IF(#REF!=7,"21-22/1",
IF(#REF!=8,"21-22/2","Hata1")))))))),
IF(#REF!+BM262=2019,
IF(#REF!=1,"19-20/1",
IF(#REF!=2,"19-20/2",
IF(#REF!=3,"20-21/1",
IF(#REF!=4,"20-21/2",
IF(#REF!=5,"21-22/1",
IF(#REF!=6,"21-22/2",
IF(#REF!=7,"22-23/1",
IF(#REF!=8,"22-23/2","Hata2")))))))),
IF(#REF!+BM262=2020,
IF(#REF!=1,"20-21/1",
IF(#REF!=2,"20-21/2",
IF(#REF!=3,"21-22/1",
IF(#REF!=4,"21-22/2",
IF(#REF!=5,"22-23/1",
IF(#REF!=6,"22-23/2",
IF(#REF!=7,"23-24/1",
IF(#REF!=8,"23-24/2","Hata3")))))))),
IF(#REF!+BM262=2021,
IF(#REF!=1,"21-22/1",
IF(#REF!=2,"21-22/2",
IF(#REF!=3,"22-23/1",
IF(#REF!=4,"22-23/2",
IF(#REF!=5,"23-24/1",
IF(#REF!=6,"23-24/2",
IF(#REF!=7,"24-25/1",
IF(#REF!=8,"24-25/2","Hata4")))))))),
IF(#REF!+BM262=2022,
IF(#REF!=1,"22-23/1",
IF(#REF!=2,"22-23/2",
IF(#REF!=3,"23-24/1",
IF(#REF!=4,"23-24/2",
IF(#REF!=5,"24-25/1",
IF(#REF!=6,"24-25/2",
IF(#REF!=7,"25-26/1",
IF(#REF!=8,"25-26/2","Hata5")))))))),
IF(#REF!+BM262=2023,
IF(#REF!=1,"23-24/1",
IF(#REF!=2,"23-24/2",
IF(#REF!=3,"24-25/1",
IF(#REF!=4,"24-25/2",
IF(#REF!=5,"25-26/1",
IF(#REF!=6,"25-26/2",
IF(#REF!=7,"26-27/1",
IF(#REF!=8,"26-27/2","Hata6")))))))),
)))))),
IF(BE262="T",
IF(#REF!+BM262=2018,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2" s="1" t="s">
        <v>158</v>
      </c>
      <c r="J262" s="1">
        <v>4234780</v>
      </c>
      <c r="L262" s="2">
        <v>3403</v>
      </c>
      <c r="N262" s="2">
        <v>4</v>
      </c>
      <c r="O262" s="6">
        <f t="shared" si="181"/>
        <v>2</v>
      </c>
      <c r="P262" s="2">
        <f t="shared" si="182"/>
        <v>2</v>
      </c>
      <c r="Q262" s="2">
        <v>0</v>
      </c>
      <c r="R262" s="2">
        <v>0</v>
      </c>
      <c r="S262" s="2">
        <v>2</v>
      </c>
      <c r="X262" s="3">
        <v>7</v>
      </c>
      <c r="Y262" s="1">
        <f>VLOOKUP($X262,[34]ölçme_sistemleri!I:L,2,FALSE)</f>
        <v>0</v>
      </c>
      <c r="Z262" s="1">
        <f>VLOOKUP($X262,[34]ölçme_sistemleri!I:L,3,FALSE)</f>
        <v>1</v>
      </c>
      <c r="AA262" s="1">
        <f>VLOOKUP($X262,[34]ölçme_sistemleri!I:L,4,FALSE)</f>
        <v>1</v>
      </c>
      <c r="AB262" s="1">
        <f>$O262*[34]ölçme_sistemleri!J$13</f>
        <v>2</v>
      </c>
      <c r="AC262" s="1">
        <f>$O262*[34]ölçme_sistemleri!K$13</f>
        <v>4</v>
      </c>
      <c r="AD262" s="1">
        <f>$O262*[34]ölçme_sistemleri!L$13</f>
        <v>6</v>
      </c>
      <c r="AE262" s="1">
        <f t="shared" si="161"/>
        <v>0</v>
      </c>
      <c r="AF262" s="1">
        <f t="shared" si="162"/>
        <v>4</v>
      </c>
      <c r="AG262" s="1">
        <f t="shared" si="163"/>
        <v>6</v>
      </c>
      <c r="AH262" s="1">
        <f t="shared" si="164"/>
        <v>10</v>
      </c>
      <c r="AI262" s="1">
        <v>14</v>
      </c>
      <c r="AJ262" s="1">
        <f>VLOOKUP(X262,[34]ölçme_sistemleri!I:M,5,FALSE)</f>
        <v>1</v>
      </c>
      <c r="AK262" s="1">
        <f t="shared" si="165"/>
        <v>140</v>
      </c>
      <c r="AL262" s="1">
        <f>((Q262+S262)*AI262)*2</f>
        <v>56</v>
      </c>
      <c r="AM262" s="1">
        <f>VLOOKUP(X262,[34]ölçme_sistemleri!I:N,6,FALSE)</f>
        <v>2</v>
      </c>
      <c r="AN262" s="1">
        <v>2</v>
      </c>
      <c r="AO262" s="1">
        <f t="shared" si="166"/>
        <v>4</v>
      </c>
      <c r="AP262" s="1">
        <v>14</v>
      </c>
      <c r="AQ262" s="1">
        <f t="shared" si="167"/>
        <v>28</v>
      </c>
      <c r="AR262" s="1">
        <f t="shared" si="168"/>
        <v>98</v>
      </c>
      <c r="AS262" s="1">
        <f t="shared" si="187"/>
        <v>25</v>
      </c>
      <c r="AT262" s="1">
        <f t="shared" si="170"/>
        <v>4</v>
      </c>
      <c r="AU262" s="1">
        <f t="shared" si="171"/>
        <v>0</v>
      </c>
      <c r="AV262" s="1">
        <f t="shared" si="172"/>
        <v>0</v>
      </c>
      <c r="AW262" s="1">
        <f t="shared" si="173"/>
        <v>0</v>
      </c>
      <c r="AX262" s="1">
        <f t="shared" si="174"/>
        <v>0</v>
      </c>
      <c r="AY262" s="1">
        <f t="shared" si="175"/>
        <v>-10</v>
      </c>
      <c r="AZ262" s="1">
        <f t="shared" si="176"/>
        <v>0</v>
      </c>
      <c r="BA262" s="1">
        <f t="shared" si="177"/>
        <v>-56</v>
      </c>
      <c r="BB262" s="1">
        <f t="shared" si="178"/>
        <v>0</v>
      </c>
      <c r="BC262" s="1">
        <f t="shared" si="179"/>
        <v>-4</v>
      </c>
      <c r="BD262" s="1">
        <f t="shared" si="180"/>
        <v>0</v>
      </c>
      <c r="BE262" s="1" t="s">
        <v>65</v>
      </c>
      <c r="BF262" s="1">
        <f t="shared" si="183"/>
        <v>28</v>
      </c>
      <c r="BG262" s="1">
        <f t="shared" si="184"/>
        <v>28</v>
      </c>
      <c r="BH262" s="1">
        <f t="shared" si="185"/>
        <v>1</v>
      </c>
      <c r="BI262" s="1" t="e">
        <f>IF(BH262-#REF!=0,"DOĞRU","YANLIŞ")</f>
        <v>#REF!</v>
      </c>
      <c r="BJ262" s="1" t="e">
        <f>#REF!-BH262</f>
        <v>#REF!</v>
      </c>
      <c r="BK262" s="1">
        <v>0</v>
      </c>
      <c r="BM262" s="1">
        <v>0</v>
      </c>
      <c r="BO262" s="1">
        <v>2</v>
      </c>
      <c r="BT262" s="8">
        <f t="shared" si="186"/>
        <v>0</v>
      </c>
      <c r="BU262" s="9"/>
      <c r="BV262" s="10"/>
      <c r="BW262" s="11"/>
      <c r="BX262" s="11"/>
      <c r="BY262" s="11"/>
      <c r="BZ262" s="11"/>
      <c r="CA262" s="11"/>
      <c r="CB262" s="12"/>
      <c r="CC262" s="13"/>
      <c r="CD262" s="14"/>
      <c r="CL262" s="11"/>
      <c r="CM262" s="11"/>
      <c r="CN262" s="11"/>
      <c r="CO262" s="11"/>
      <c r="CP262" s="11"/>
      <c r="CQ262" s="49"/>
      <c r="CR262" s="46"/>
      <c r="CS262" s="54"/>
      <c r="CT262" s="53"/>
      <c r="CU262" s="53"/>
      <c r="CV262" s="53"/>
      <c r="CW262" s="49"/>
      <c r="CX262" s="49"/>
    </row>
    <row r="263" spans="1:102" x14ac:dyDescent="0.25">
      <c r="A263" s="112" t="s">
        <v>144</v>
      </c>
      <c r="B263" s="112" t="s">
        <v>134</v>
      </c>
      <c r="C263" s="1" t="s">
        <v>134</v>
      </c>
      <c r="D263" s="2" t="s">
        <v>63</v>
      </c>
      <c r="E263" s="2" t="s">
        <v>63</v>
      </c>
      <c r="F263" s="3" t="e">
        <f>IF(BE263="S",
IF(#REF!+BM263=2018,
IF(#REF!=1,"18-19/1",
IF(#REF!=2,"18-19/2",
IF(#REF!=3,"19-20/1",
IF(#REF!=4,"19-20/2",
IF(#REF!=5,"20-21/1",
IF(#REF!=6,"20-21/2",
IF(#REF!=7,"21-22/1",
IF(#REF!=8,"21-22/2","Hata1")))))))),
IF(#REF!+BM263=2019,
IF(#REF!=1,"19-20/1",
IF(#REF!=2,"19-20/2",
IF(#REF!=3,"20-21/1",
IF(#REF!=4,"20-21/2",
IF(#REF!=5,"21-22/1",
IF(#REF!=6,"21-22/2",
IF(#REF!=7,"22-23/1",
IF(#REF!=8,"22-23/2","Hata2")))))))),
IF(#REF!+BM263=2020,
IF(#REF!=1,"20-21/1",
IF(#REF!=2,"20-21/2",
IF(#REF!=3,"21-22/1",
IF(#REF!=4,"21-22/2",
IF(#REF!=5,"22-23/1",
IF(#REF!=6,"22-23/2",
IF(#REF!=7,"23-24/1",
IF(#REF!=8,"23-24/2","Hata3")))))))),
IF(#REF!+BM263=2021,
IF(#REF!=1,"21-22/1",
IF(#REF!=2,"21-22/2",
IF(#REF!=3,"22-23/1",
IF(#REF!=4,"22-23/2",
IF(#REF!=5,"23-24/1",
IF(#REF!=6,"23-24/2",
IF(#REF!=7,"24-25/1",
IF(#REF!=8,"24-25/2","Hata4")))))))),
IF(#REF!+BM263=2022,
IF(#REF!=1,"22-23/1",
IF(#REF!=2,"22-23/2",
IF(#REF!=3,"23-24/1",
IF(#REF!=4,"23-24/2",
IF(#REF!=5,"24-25/1",
IF(#REF!=6,"24-25/2",
IF(#REF!=7,"25-26/1",
IF(#REF!=8,"25-26/2","Hata5")))))))),
IF(#REF!+BM263=2023,
IF(#REF!=1,"23-24/1",
IF(#REF!=2,"23-24/2",
IF(#REF!=3,"24-25/1",
IF(#REF!=4,"24-25/2",
IF(#REF!=5,"25-26/1",
IF(#REF!=6,"25-26/2",
IF(#REF!=7,"26-27/1",
IF(#REF!=8,"26-27/2","Hata6")))))))),
)))))),
IF(BE263="T",
IF(#REF!+BM263=2018,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3" s="112" t="s">
        <v>158</v>
      </c>
      <c r="J263" s="1">
        <v>4234780</v>
      </c>
      <c r="L263" s="2">
        <v>3481</v>
      </c>
      <c r="N263" s="113">
        <v>7</v>
      </c>
      <c r="O263" s="89">
        <f t="shared" si="181"/>
        <v>6</v>
      </c>
      <c r="P263" s="2">
        <f t="shared" si="182"/>
        <v>6</v>
      </c>
      <c r="Q263" s="2">
        <v>4</v>
      </c>
      <c r="R263" s="2">
        <v>0</v>
      </c>
      <c r="S263" s="2">
        <v>2</v>
      </c>
      <c r="X263" s="90">
        <v>2</v>
      </c>
      <c r="Y263" s="1">
        <f>VLOOKUP($X263,[32]ölçme_sistemleri!I:L,2,FALSE)</f>
        <v>0</v>
      </c>
      <c r="Z263" s="1">
        <f>VLOOKUP($X263,[32]ölçme_sistemleri!I:L,3,FALSE)</f>
        <v>2</v>
      </c>
      <c r="AA263" s="1">
        <f>VLOOKUP($X263,[32]ölçme_sistemleri!I:L,4,FALSE)</f>
        <v>1</v>
      </c>
      <c r="AB263" s="1">
        <f>$O263*[32]ölçme_sistemleri!J$13</f>
        <v>6</v>
      </c>
      <c r="AC263" s="1">
        <f>$O263*[32]ölçme_sistemleri!K$13</f>
        <v>12</v>
      </c>
      <c r="AD263" s="1">
        <f>$O263*[32]ölçme_sistemleri!L$13</f>
        <v>18</v>
      </c>
      <c r="AE263" s="1">
        <f t="shared" si="161"/>
        <v>0</v>
      </c>
      <c r="AF263" s="1">
        <f t="shared" si="162"/>
        <v>24</v>
      </c>
      <c r="AG263" s="1">
        <f t="shared" si="163"/>
        <v>18</v>
      </c>
      <c r="AH263" s="1">
        <f t="shared" si="164"/>
        <v>42</v>
      </c>
      <c r="AI263" s="1">
        <v>14</v>
      </c>
      <c r="AJ263" s="1">
        <f>VLOOKUP(X263,[32]ölçme_sistemleri!I:M,5,FALSE)</f>
        <v>2</v>
      </c>
      <c r="AK263" s="1">
        <f t="shared" si="165"/>
        <v>588</v>
      </c>
      <c r="AL263" s="1">
        <f>AI263*3</f>
        <v>42</v>
      </c>
      <c r="AM263" s="1">
        <f>VLOOKUP(X263,[32]ölçme_sistemleri!I:N,6,FALSE)</f>
        <v>3</v>
      </c>
      <c r="AN263" s="1">
        <v>2</v>
      </c>
      <c r="AO263" s="1">
        <f t="shared" si="166"/>
        <v>6</v>
      </c>
      <c r="AP263" s="1">
        <v>14</v>
      </c>
      <c r="AQ263" s="1">
        <f t="shared" si="167"/>
        <v>84</v>
      </c>
      <c r="AR263" s="1">
        <f t="shared" si="168"/>
        <v>174</v>
      </c>
      <c r="AS263" s="1">
        <f>IF(BE263="s",25,30)</f>
        <v>25</v>
      </c>
      <c r="AT263" s="1">
        <f t="shared" si="170"/>
        <v>7</v>
      </c>
      <c r="AU263" s="1">
        <f t="shared" si="171"/>
        <v>0</v>
      </c>
      <c r="AV263" s="1">
        <f t="shared" si="172"/>
        <v>0</v>
      </c>
      <c r="AW263" s="1">
        <f t="shared" si="173"/>
        <v>0</v>
      </c>
      <c r="AX263" s="1">
        <f t="shared" si="174"/>
        <v>0</v>
      </c>
      <c r="AY263" s="1">
        <f t="shared" si="175"/>
        <v>-42</v>
      </c>
      <c r="AZ263" s="1">
        <f t="shared" si="176"/>
        <v>0</v>
      </c>
      <c r="BA263" s="1">
        <f t="shared" si="177"/>
        <v>-42</v>
      </c>
      <c r="BB263" s="1">
        <f t="shared" si="178"/>
        <v>0</v>
      </c>
      <c r="BC263" s="1">
        <f t="shared" si="179"/>
        <v>-6</v>
      </c>
      <c r="BD263" s="1">
        <f t="shared" si="180"/>
        <v>0</v>
      </c>
      <c r="BE263" s="1" t="s">
        <v>65</v>
      </c>
      <c r="BF263" s="1">
        <f t="shared" si="183"/>
        <v>84</v>
      </c>
      <c r="BG263" s="1">
        <f t="shared" si="184"/>
        <v>84</v>
      </c>
      <c r="BH263" s="1">
        <f t="shared" si="185"/>
        <v>3</v>
      </c>
      <c r="BI263" s="1" t="e">
        <f>IF(BH263-#REF!=0,"DOĞRU","YANLIŞ")</f>
        <v>#REF!</v>
      </c>
      <c r="BJ263" s="1" t="e">
        <f>#REF!-BH263</f>
        <v>#REF!</v>
      </c>
      <c r="BK263" s="1">
        <v>1</v>
      </c>
      <c r="BM263" s="1">
        <v>0</v>
      </c>
      <c r="BT263" s="8">
        <f t="shared" si="186"/>
        <v>0</v>
      </c>
      <c r="BU263" s="9"/>
      <c r="BV263" s="10"/>
      <c r="BW263" s="11"/>
      <c r="BX263" s="11"/>
      <c r="BY263" s="11"/>
      <c r="BZ263" s="11"/>
      <c r="CA263" s="11"/>
      <c r="CB263" s="12"/>
      <c r="CC263" s="13"/>
      <c r="CD263" s="14"/>
      <c r="CL263" s="114"/>
      <c r="CM263" s="114"/>
      <c r="CN263" s="114"/>
      <c r="CO263" s="114"/>
      <c r="CP263" s="114" t="s">
        <v>442</v>
      </c>
      <c r="CQ263" s="111">
        <v>44324</v>
      </c>
      <c r="CR263" s="114" t="s">
        <v>529</v>
      </c>
      <c r="CS263" s="93">
        <v>44337</v>
      </c>
      <c r="CT263" s="86" t="s">
        <v>501</v>
      </c>
      <c r="CU263" s="48"/>
      <c r="CV263" s="48"/>
      <c r="CW263" s="49"/>
      <c r="CX263" s="49"/>
    </row>
    <row r="264" spans="1:102" x14ac:dyDescent="0.25">
      <c r="A264" s="88" t="s">
        <v>251</v>
      </c>
      <c r="B264" s="88" t="s">
        <v>143</v>
      </c>
      <c r="C264" s="1" t="s">
        <v>143</v>
      </c>
      <c r="D264" s="2" t="s">
        <v>63</v>
      </c>
      <c r="E264" s="2" t="s">
        <v>63</v>
      </c>
      <c r="F264" s="3" t="e">
        <f>IF(BE264="S",
IF(#REF!+BM264=2018,
IF(#REF!=1,"18-19/1",
IF(#REF!=2,"18-19/2",
IF(#REF!=3,"19-20/1",
IF(#REF!=4,"19-20/2",
IF(#REF!=5,"20-21/1",
IF(#REF!=6,"20-21/2",
IF(#REF!=7,"21-22/1",
IF(#REF!=8,"21-22/2","Hata1")))))))),
IF(#REF!+BM264=2019,
IF(#REF!=1,"19-20/1",
IF(#REF!=2,"19-20/2",
IF(#REF!=3,"20-21/1",
IF(#REF!=4,"20-21/2",
IF(#REF!=5,"21-22/1",
IF(#REF!=6,"21-22/2",
IF(#REF!=7,"22-23/1",
IF(#REF!=8,"22-23/2","Hata2")))))))),
IF(#REF!+BM264=2020,
IF(#REF!=1,"20-21/1",
IF(#REF!=2,"20-21/2",
IF(#REF!=3,"21-22/1",
IF(#REF!=4,"21-22/2",
IF(#REF!=5,"22-23/1",
IF(#REF!=6,"22-23/2",
IF(#REF!=7,"23-24/1",
IF(#REF!=8,"23-24/2","Hata3")))))))),
IF(#REF!+BM264=2021,
IF(#REF!=1,"21-22/1",
IF(#REF!=2,"21-22/2",
IF(#REF!=3,"22-23/1",
IF(#REF!=4,"22-23/2",
IF(#REF!=5,"23-24/1",
IF(#REF!=6,"23-24/2",
IF(#REF!=7,"24-25/1",
IF(#REF!=8,"24-25/2","Hata4")))))))),
IF(#REF!+BM264=2022,
IF(#REF!=1,"22-23/1",
IF(#REF!=2,"22-23/2",
IF(#REF!=3,"23-24/1",
IF(#REF!=4,"23-24/2",
IF(#REF!=5,"24-25/1",
IF(#REF!=6,"24-25/2",
IF(#REF!=7,"25-26/1",
IF(#REF!=8,"25-26/2","Hata5")))))))),
IF(#REF!+BM264=2023,
IF(#REF!=1,"23-24/1",
IF(#REF!=2,"23-24/2",
IF(#REF!=3,"24-25/1",
IF(#REF!=4,"24-25/2",
IF(#REF!=5,"25-26/1",
IF(#REF!=6,"25-26/2",
IF(#REF!=7,"26-27/1",
IF(#REF!=8,"26-27/2","Hata6")))))))),
)))))),
IF(BE264="T",
IF(#REF!+BM264=2018,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4" s="88" t="s">
        <v>158</v>
      </c>
      <c r="J264" s="1">
        <v>4234780</v>
      </c>
      <c r="L264" s="2">
        <v>3500</v>
      </c>
      <c r="N264" s="87">
        <v>7</v>
      </c>
      <c r="O264" s="89">
        <f t="shared" si="181"/>
        <v>6</v>
      </c>
      <c r="P264" s="2">
        <f t="shared" si="182"/>
        <v>6</v>
      </c>
      <c r="Q264" s="2">
        <v>4</v>
      </c>
      <c r="R264" s="2">
        <v>0</v>
      </c>
      <c r="S264" s="2">
        <v>2</v>
      </c>
      <c r="X264" s="90">
        <v>2</v>
      </c>
      <c r="Y264" s="1">
        <f>VLOOKUP($X264,[34]ölçme_sistemleri!I:L,2,FALSE)</f>
        <v>0</v>
      </c>
      <c r="Z264" s="1">
        <f>VLOOKUP($X264,[34]ölçme_sistemleri!I:L,3,FALSE)</f>
        <v>2</v>
      </c>
      <c r="AA264" s="1">
        <f>VLOOKUP($X264,[34]ölçme_sistemleri!I:L,4,FALSE)</f>
        <v>1</v>
      </c>
      <c r="AB264" s="1">
        <f>$O264*[34]ölçme_sistemleri!J$13</f>
        <v>6</v>
      </c>
      <c r="AC264" s="1">
        <f>$O264*[34]ölçme_sistemleri!K$13</f>
        <v>12</v>
      </c>
      <c r="AD264" s="1">
        <f>$O264*[34]ölçme_sistemleri!L$13</f>
        <v>18</v>
      </c>
      <c r="AE264" s="1">
        <f t="shared" si="161"/>
        <v>0</v>
      </c>
      <c r="AF264" s="1">
        <f t="shared" si="162"/>
        <v>24</v>
      </c>
      <c r="AG264" s="1">
        <f t="shared" si="163"/>
        <v>18</v>
      </c>
      <c r="AH264" s="1">
        <f t="shared" si="164"/>
        <v>42</v>
      </c>
      <c r="AI264" s="1">
        <v>14</v>
      </c>
      <c r="AJ264" s="1">
        <f>VLOOKUP(X264,[34]ölçme_sistemleri!I:M,5,FALSE)</f>
        <v>2</v>
      </c>
      <c r="AK264" s="1">
        <f t="shared" si="165"/>
        <v>588</v>
      </c>
      <c r="AL264" s="1">
        <f>(Q264+S264)*AI264/2</f>
        <v>42</v>
      </c>
      <c r="AM264" s="1">
        <f>VLOOKUP(X264,[34]ölçme_sistemleri!I:N,6,FALSE)</f>
        <v>3</v>
      </c>
      <c r="AN264" s="1">
        <v>2</v>
      </c>
      <c r="AO264" s="1">
        <f t="shared" si="166"/>
        <v>6</v>
      </c>
      <c r="AP264" s="1">
        <v>14</v>
      </c>
      <c r="AQ264" s="1">
        <f t="shared" si="167"/>
        <v>84</v>
      </c>
      <c r="AR264" s="1">
        <f t="shared" si="168"/>
        <v>174</v>
      </c>
      <c r="AS264" s="1">
        <f>IF(BE264="s",25,30)</f>
        <v>25</v>
      </c>
      <c r="AT264" s="1">
        <f t="shared" si="170"/>
        <v>7</v>
      </c>
      <c r="AU264" s="1">
        <f t="shared" si="171"/>
        <v>0</v>
      </c>
      <c r="AV264" s="1">
        <f t="shared" si="172"/>
        <v>0</v>
      </c>
      <c r="AW264" s="1">
        <f t="shared" si="173"/>
        <v>0</v>
      </c>
      <c r="AX264" s="1">
        <f t="shared" si="174"/>
        <v>0</v>
      </c>
      <c r="AY264" s="1">
        <f t="shared" si="175"/>
        <v>-42</v>
      </c>
      <c r="AZ264" s="1">
        <f t="shared" si="176"/>
        <v>0</v>
      </c>
      <c r="BA264" s="1">
        <f t="shared" si="177"/>
        <v>-42</v>
      </c>
      <c r="BB264" s="1">
        <f t="shared" si="178"/>
        <v>0</v>
      </c>
      <c r="BC264" s="1">
        <f t="shared" si="179"/>
        <v>-6</v>
      </c>
      <c r="BD264" s="1">
        <f t="shared" si="180"/>
        <v>0</v>
      </c>
      <c r="BE264" s="1" t="s">
        <v>65</v>
      </c>
      <c r="BF264" s="1">
        <f t="shared" si="183"/>
        <v>84</v>
      </c>
      <c r="BG264" s="1">
        <f t="shared" si="184"/>
        <v>84</v>
      </c>
      <c r="BH264" s="1">
        <f t="shared" si="185"/>
        <v>3</v>
      </c>
      <c r="BI264" s="1" t="e">
        <f>IF(BH264-#REF!=0,"DOĞRU","YANLIŞ")</f>
        <v>#REF!</v>
      </c>
      <c r="BJ264" s="1" t="e">
        <f>#REF!-BH264</f>
        <v>#REF!</v>
      </c>
      <c r="BK264" s="1">
        <v>1</v>
      </c>
      <c r="BM264" s="1">
        <v>0</v>
      </c>
      <c r="BO264" s="1">
        <v>4</v>
      </c>
      <c r="BT264" s="8">
        <f t="shared" si="186"/>
        <v>0</v>
      </c>
      <c r="BU264" s="9"/>
      <c r="BV264" s="10"/>
      <c r="BW264" s="11"/>
      <c r="BX264" s="11"/>
      <c r="BY264" s="11"/>
      <c r="BZ264" s="11"/>
      <c r="CA264" s="11"/>
      <c r="CB264" s="12"/>
      <c r="CC264" s="13"/>
      <c r="CD264" s="14"/>
      <c r="CL264" s="82"/>
      <c r="CM264" s="82"/>
      <c r="CN264" s="82"/>
      <c r="CO264" s="82"/>
      <c r="CP264" s="82" t="s">
        <v>442</v>
      </c>
      <c r="CQ264" s="85">
        <v>44324</v>
      </c>
      <c r="CR264" s="83" t="s">
        <v>529</v>
      </c>
      <c r="CS264" s="85">
        <v>44345</v>
      </c>
      <c r="CT264" s="91" t="s">
        <v>529</v>
      </c>
      <c r="CU264" s="49"/>
      <c r="CV264" s="48"/>
      <c r="CW264" s="49"/>
      <c r="CX264" s="49"/>
    </row>
    <row r="265" spans="1:102" hidden="1" x14ac:dyDescent="0.25">
      <c r="A265" s="1" t="s">
        <v>125</v>
      </c>
      <c r="B265" s="1" t="s">
        <v>126</v>
      </c>
      <c r="C265" s="1" t="s">
        <v>126</v>
      </c>
      <c r="D265" s="2" t="s">
        <v>63</v>
      </c>
      <c r="E265" s="2" t="s">
        <v>63</v>
      </c>
      <c r="F265" s="3" t="e">
        <f>IF(BE265="S",
IF(#REF!+BM265=2018,
IF(#REF!=1,"18-19/1",
IF(#REF!=2,"18-19/2",
IF(#REF!=3,"19-20/1",
IF(#REF!=4,"19-20/2",
IF(#REF!=5,"20-21/1",
IF(#REF!=6,"20-21/2",
IF(#REF!=7,"21-22/1",
IF(#REF!=8,"21-22/2","Hata1")))))))),
IF(#REF!+BM265=2019,
IF(#REF!=1,"19-20/1",
IF(#REF!=2,"19-20/2",
IF(#REF!=3,"20-21/1",
IF(#REF!=4,"20-21/2",
IF(#REF!=5,"21-22/1",
IF(#REF!=6,"21-22/2",
IF(#REF!=7,"22-23/1",
IF(#REF!=8,"22-23/2","Hata2")))))))),
IF(#REF!+BM265=2020,
IF(#REF!=1,"20-21/1",
IF(#REF!=2,"20-21/2",
IF(#REF!=3,"21-22/1",
IF(#REF!=4,"21-22/2",
IF(#REF!=5,"22-23/1",
IF(#REF!=6,"22-23/2",
IF(#REF!=7,"23-24/1",
IF(#REF!=8,"23-24/2","Hata3")))))))),
IF(#REF!+BM265=2021,
IF(#REF!=1,"21-22/1",
IF(#REF!=2,"21-22/2",
IF(#REF!=3,"22-23/1",
IF(#REF!=4,"22-23/2",
IF(#REF!=5,"23-24/1",
IF(#REF!=6,"23-24/2",
IF(#REF!=7,"24-25/1",
IF(#REF!=8,"24-25/2","Hata4")))))))),
IF(#REF!+BM265=2022,
IF(#REF!=1,"22-23/1",
IF(#REF!=2,"22-23/2",
IF(#REF!=3,"23-24/1",
IF(#REF!=4,"23-24/2",
IF(#REF!=5,"24-25/1",
IF(#REF!=6,"24-25/2",
IF(#REF!=7,"25-26/1",
IF(#REF!=8,"25-26/2","Hata5")))))))),
IF(#REF!+BM265=2023,
IF(#REF!=1,"23-24/1",
IF(#REF!=2,"23-24/2",
IF(#REF!=3,"24-25/1",
IF(#REF!=4,"24-25/2",
IF(#REF!=5,"25-26/1",
IF(#REF!=6,"25-26/2",
IF(#REF!=7,"26-27/1",
IF(#REF!=8,"26-27/2","Hata6")))))))),
)))))),
IF(BE265="T",
IF(#REF!+BM265=2018,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5" s="1" t="s">
        <v>158</v>
      </c>
      <c r="J265" s="1">
        <v>4234780</v>
      </c>
      <c r="L265" s="2">
        <v>1681</v>
      </c>
      <c r="N265" s="2">
        <v>4</v>
      </c>
      <c r="O265" s="6">
        <f t="shared" ref="O265:O295" si="188">(S265)+(R265/2)+(Q265)</f>
        <v>3</v>
      </c>
      <c r="P265" s="2">
        <f t="shared" ref="P265:P295" si="189">Q265+R265+S265</f>
        <v>3</v>
      </c>
      <c r="Q265" s="2">
        <v>3</v>
      </c>
      <c r="R265" s="2">
        <v>0</v>
      </c>
      <c r="S265" s="2">
        <v>0</v>
      </c>
      <c r="X265" s="3">
        <v>2</v>
      </c>
      <c r="Y265" s="1">
        <f>VLOOKUP($X265,[32]ölçme_sistemleri!I:L,2,FALSE)</f>
        <v>0</v>
      </c>
      <c r="Z265" s="1">
        <f>VLOOKUP($X265,[32]ölçme_sistemleri!I:L,3,FALSE)</f>
        <v>2</v>
      </c>
      <c r="AA265" s="1">
        <f>VLOOKUP($X265,[32]ölçme_sistemleri!I:L,4,FALSE)</f>
        <v>1</v>
      </c>
      <c r="AB265" s="1">
        <f>$O265*[32]ölçme_sistemleri!J$13</f>
        <v>3</v>
      </c>
      <c r="AC265" s="1">
        <f>$O265*[32]ölçme_sistemleri!K$13</f>
        <v>6</v>
      </c>
      <c r="AD265" s="1">
        <f>$O265*[32]ölçme_sistemleri!L$13</f>
        <v>9</v>
      </c>
      <c r="AE265" s="1">
        <f t="shared" ref="AE265:AE294" si="190">Y265*AB265</f>
        <v>0</v>
      </c>
      <c r="AF265" s="1">
        <f t="shared" ref="AF265:AF294" si="191">Z265*AC265</f>
        <v>12</v>
      </c>
      <c r="AG265" s="1">
        <f t="shared" ref="AG265:AG294" si="192">AA265*AD265</f>
        <v>9</v>
      </c>
      <c r="AH265" s="1">
        <f t="shared" ref="AH265:AH294" si="193">SUM(AE265:AG265)</f>
        <v>21</v>
      </c>
      <c r="AI265" s="1">
        <v>14</v>
      </c>
      <c r="AJ265" s="1">
        <f>VLOOKUP(X265,[32]ölçme_sistemleri!I:M,5,FALSE)</f>
        <v>2</v>
      </c>
      <c r="AK265" s="1">
        <f t="shared" ref="AK265:AK294" si="194">SUM(AE265,AF265,AG265)*AI265</f>
        <v>294</v>
      </c>
      <c r="AL265" s="1">
        <f>(Q265+S265)*AI265</f>
        <v>42</v>
      </c>
      <c r="AM265" s="1">
        <f>VLOOKUP(X265,[32]ölçme_sistemleri!I:N,6,FALSE)</f>
        <v>3</v>
      </c>
      <c r="AN265" s="1">
        <v>2</v>
      </c>
      <c r="AO265" s="1">
        <f t="shared" ref="AO265:AO294" si="195">AM265*AN265</f>
        <v>6</v>
      </c>
      <c r="AP265" s="1">
        <v>14</v>
      </c>
      <c r="AQ265" s="1">
        <f t="shared" si="167"/>
        <v>42</v>
      </c>
      <c r="AR265" s="1">
        <f t="shared" ref="AR265:AR294" si="196">AQ265+AO265+AL265+AE265+AF265+AG265</f>
        <v>111</v>
      </c>
      <c r="AS265" s="1">
        <f>IF(BE265="s",25,30)</f>
        <v>25</v>
      </c>
      <c r="AT265" s="1">
        <f t="shared" ref="AT265:AT294" si="197">ROUND(AR265/AS265,0)</f>
        <v>4</v>
      </c>
      <c r="AU265" s="1">
        <f t="shared" si="171"/>
        <v>0</v>
      </c>
      <c r="AV265" s="1">
        <f t="shared" si="172"/>
        <v>0</v>
      </c>
      <c r="AW265" s="1">
        <f t="shared" si="173"/>
        <v>0</v>
      </c>
      <c r="AX265" s="1">
        <f t="shared" si="174"/>
        <v>0</v>
      </c>
      <c r="AY265" s="1">
        <f t="shared" ref="AY265:AY294" si="198">SUM(AV265:AX265)-SUM(AD265:AF265)</f>
        <v>-21</v>
      </c>
      <c r="AZ265" s="1">
        <f t="shared" si="176"/>
        <v>0</v>
      </c>
      <c r="BA265" s="1">
        <f t="shared" ref="BA265:BA294" si="199">AZ265-AL265</f>
        <v>-42</v>
      </c>
      <c r="BB265" s="1">
        <f t="shared" ref="BB265:BB294" si="200">IF(BE265="s",
IF(W265=0,0,
IF(W265=1,4*5,
IF(W265=2,4*3,
IF(W265=3,4*4,
IF(W265=4,4*2,
IF(W265=5,4,
IF(W265=6,4/2,
IF(W265=7,4*2,)))))))),
IF(BE265="t",
IF(W265=0,0,
IF(W265=1,4*5,
IF(W265=2,4*3,
IF(W265=3,4*4,
IF(W265=4,4*2,
IF(W265=5,4,
IF(W265=6,4/2,
IF(W265=7,4*2))))))))))</f>
        <v>0</v>
      </c>
      <c r="BC265" s="1">
        <f t="shared" ref="BC265:BC294" si="201">BB265-AO265</f>
        <v>-6</v>
      </c>
      <c r="BD265" s="1">
        <f t="shared" ref="BD265:BD294" si="202">AV265+AW265+AX265+(IF(BK265=1,(AZ265)*2,AZ265))+BB265</f>
        <v>0</v>
      </c>
      <c r="BE265" s="1" t="s">
        <v>65</v>
      </c>
      <c r="BF265" s="1">
        <f t="shared" si="183"/>
        <v>42</v>
      </c>
      <c r="BG265" s="1">
        <f t="shared" ref="BG265:BG295" si="203">IF(BL265="Z",(BF265+BD265)*1.15,(BF265+BD265))</f>
        <v>42</v>
      </c>
      <c r="BH265" s="1">
        <f t="shared" ref="BH265:BH295" si="204">IF(BE265="s",ROUND(BG265/30,0),IF(BE265="T",ROUND(BG265/25,0),"HATA"))</f>
        <v>1</v>
      </c>
      <c r="BI265" s="1" t="e">
        <f>IF(BH265-#REF!=0,"DOĞRU","YANLIŞ")</f>
        <v>#REF!</v>
      </c>
      <c r="BJ265" s="1" t="e">
        <f>#REF!-BH265</f>
        <v>#REF!</v>
      </c>
      <c r="BK265" s="1">
        <v>0</v>
      </c>
      <c r="BM265" s="1">
        <v>0</v>
      </c>
      <c r="BT265" s="8">
        <f t="shared" si="186"/>
        <v>0</v>
      </c>
      <c r="BU265" s="9"/>
      <c r="BV265" s="10"/>
      <c r="BW265" s="11"/>
      <c r="BX265" s="11"/>
      <c r="BY265" s="11"/>
      <c r="BZ265" s="11"/>
      <c r="CA265" s="11"/>
      <c r="CB265" s="12"/>
      <c r="CC265" s="13"/>
      <c r="CD265" s="14"/>
      <c r="CL265" s="11"/>
      <c r="CM265" s="11"/>
      <c r="CN265" s="11"/>
      <c r="CO265" s="11"/>
      <c r="CP265" s="11"/>
      <c r="CQ265" s="46"/>
      <c r="CR265" s="46"/>
      <c r="CS265" s="48"/>
      <c r="CT265" s="48"/>
      <c r="CU265" s="48"/>
      <c r="CV265" s="48"/>
      <c r="CW265" s="49"/>
      <c r="CX265" s="49"/>
    </row>
    <row r="266" spans="1:102" hidden="1" x14ac:dyDescent="0.25">
      <c r="A266" s="1" t="s">
        <v>262</v>
      </c>
      <c r="B266" s="1" t="s">
        <v>263</v>
      </c>
      <c r="C266" s="1" t="s">
        <v>263</v>
      </c>
      <c r="D266" s="2" t="s">
        <v>58</v>
      </c>
      <c r="E266" s="2" t="s">
        <v>58</v>
      </c>
      <c r="F266" s="3" t="e">
        <f>IF(BE266="S",
IF(#REF!+BM266=2018,
IF(#REF!=1,"18-19/1",
IF(#REF!=2,"18-19/2",
IF(#REF!=3,"19-20/1",
IF(#REF!=4,"19-20/2",
IF(#REF!=5,"20-21/1",
IF(#REF!=6,"20-21/2",
IF(#REF!=7,"21-22/1",
IF(#REF!=8,"21-22/2","Hata1")))))))),
IF(#REF!+BM266=2019,
IF(#REF!=1,"19-20/1",
IF(#REF!=2,"19-20/2",
IF(#REF!=3,"20-21/1",
IF(#REF!=4,"20-21/2",
IF(#REF!=5,"21-22/1",
IF(#REF!=6,"21-22/2",
IF(#REF!=7,"22-23/1",
IF(#REF!=8,"22-23/2","Hata2")))))))),
IF(#REF!+BM266=2020,
IF(#REF!=1,"20-21/1",
IF(#REF!=2,"20-21/2",
IF(#REF!=3,"21-22/1",
IF(#REF!=4,"21-22/2",
IF(#REF!=5,"22-23/1",
IF(#REF!=6,"22-23/2",
IF(#REF!=7,"23-24/1",
IF(#REF!=8,"23-24/2","Hata3")))))))),
IF(#REF!+BM266=2021,
IF(#REF!=1,"21-22/1",
IF(#REF!=2,"21-22/2",
IF(#REF!=3,"22-23/1",
IF(#REF!=4,"22-23/2",
IF(#REF!=5,"23-24/1",
IF(#REF!=6,"23-24/2",
IF(#REF!=7,"24-25/1",
IF(#REF!=8,"24-25/2","Hata4")))))))),
IF(#REF!+BM266=2022,
IF(#REF!=1,"22-23/1",
IF(#REF!=2,"22-23/2",
IF(#REF!=3,"23-24/1",
IF(#REF!=4,"23-24/2",
IF(#REF!=5,"24-25/1",
IF(#REF!=6,"24-25/2",
IF(#REF!=7,"25-26/1",
IF(#REF!=8,"25-26/2","Hata5")))))))),
IF(#REF!+BM266=2023,
IF(#REF!=1,"23-24/1",
IF(#REF!=2,"23-24/2",
IF(#REF!=3,"24-25/1",
IF(#REF!=4,"24-25/2",
IF(#REF!=5,"25-26/1",
IF(#REF!=6,"25-26/2",
IF(#REF!=7,"26-27/1",
IF(#REF!=8,"26-27/2","Hata6")))))))),
)))))),
IF(BE266="T",
IF(#REF!+BM266=2018,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6" s="1" t="s">
        <v>158</v>
      </c>
      <c r="J266" s="1">
        <v>4234780</v>
      </c>
      <c r="L266" s="2">
        <v>3507</v>
      </c>
      <c r="N266" s="2">
        <v>4</v>
      </c>
      <c r="O266" s="6">
        <f t="shared" si="188"/>
        <v>2</v>
      </c>
      <c r="P266" s="2">
        <f t="shared" si="189"/>
        <v>2</v>
      </c>
      <c r="Q266" s="2">
        <v>2</v>
      </c>
      <c r="R266" s="2">
        <v>0</v>
      </c>
      <c r="S266" s="2">
        <v>0</v>
      </c>
      <c r="X266" s="3">
        <v>4</v>
      </c>
      <c r="Y266" s="1">
        <f>VLOOKUP($X266,[33]ölçme_sistemleri!I:L,2,FALSE)</f>
        <v>0</v>
      </c>
      <c r="Z266" s="1">
        <f>VLOOKUP($X266,[33]ölçme_sistemleri!I:L,3,FALSE)</f>
        <v>1</v>
      </c>
      <c r="AA266" s="1">
        <f>VLOOKUP($X266,[33]ölçme_sistemleri!I:L,4,FALSE)</f>
        <v>1</v>
      </c>
      <c r="AB266" s="1">
        <f>$O266*[33]ölçme_sistemleri!J$13</f>
        <v>2</v>
      </c>
      <c r="AC266" s="1">
        <f>$O266*[33]ölçme_sistemleri!K$13</f>
        <v>4</v>
      </c>
      <c r="AD266" s="1">
        <f>$O266*[33]ölçme_sistemleri!L$13</f>
        <v>6</v>
      </c>
      <c r="AE266" s="1">
        <f t="shared" si="190"/>
        <v>0</v>
      </c>
      <c r="AF266" s="1">
        <f t="shared" si="191"/>
        <v>4</v>
      </c>
      <c r="AG266" s="1">
        <f t="shared" si="192"/>
        <v>6</v>
      </c>
      <c r="AH266" s="1">
        <f t="shared" si="193"/>
        <v>10</v>
      </c>
      <c r="AI266" s="1">
        <v>14</v>
      </c>
      <c r="AJ266" s="1">
        <f>VLOOKUP(X266,[33]ölçme_sistemleri!I:M,5,FALSE)</f>
        <v>1</v>
      </c>
      <c r="AK266" s="1">
        <f t="shared" si="194"/>
        <v>140</v>
      </c>
      <c r="AL266" s="1">
        <f>AI266*4</f>
        <v>56</v>
      </c>
      <c r="AM266" s="1">
        <f>VLOOKUP(X266,[33]ölçme_sistemleri!I:N,6,FALSE)</f>
        <v>2</v>
      </c>
      <c r="AN266" s="1">
        <v>2</v>
      </c>
      <c r="AO266" s="1">
        <f t="shared" si="195"/>
        <v>4</v>
      </c>
      <c r="AP266" s="1">
        <v>14</v>
      </c>
      <c r="AQ266" s="1">
        <f t="shared" ref="AQ266:AQ297" si="205">AP266*P266</f>
        <v>28</v>
      </c>
      <c r="AR266" s="1">
        <f t="shared" si="196"/>
        <v>98</v>
      </c>
      <c r="AS266" s="1">
        <f>IF(BE266="s",25,25)</f>
        <v>25</v>
      </c>
      <c r="AT266" s="1">
        <f t="shared" si="197"/>
        <v>4</v>
      </c>
      <c r="AU266" s="1">
        <f t="shared" ref="AU266:AU297" si="206">ROUND(AT266-N266,0)</f>
        <v>0</v>
      </c>
      <c r="AV266" s="1">
        <f t="shared" ref="AV266:AV297" si="207">IF(BE266="s",IF(W266=0,0,
IF(W266=1,N266*4*4,
IF(W266=2,0,
IF(W266=3,N266*4*2,
IF(W266=4,0,
IF(W266=5,0,
IF(W266=6,0,
IF(W266=7,0)))))))),
IF(BE266="t",
IF(W266=0,0,
IF(W266=1,N266*4*4*0.8,
IF(W266=2,0,
IF(W266=3,N266*4*2*0.8,
IF(W266=4,0,
IF(W266=5,0,
IF(W266=6,0,
IF(W266=7,0))))))))))</f>
        <v>0</v>
      </c>
      <c r="AW266" s="1">
        <f t="shared" ref="AW266:AW297" si="208">IF(BE266="s",
IF(W266=0,0,
IF(W266=1,0,
IF(W266=2,N266*4*2,
IF(W266=3,N266*4,
IF(W266=4,N266*4,
IF(W266=5,0,
IF(W266=6,0,
IF(W266=7,N266*4)))))))),
IF(BE266="t",
IF(W266=0,0,
IF(W266=1,0,
IF(W266=2,N266*4*2*0.8,
IF(W266=3,N266*4*0.8,
IF(W266=4,N266*4*0.8,
IF(W266=5,0,
IF(W266=6,0,
IF(W266=7,N266*4))))))))))</f>
        <v>0</v>
      </c>
      <c r="AX266" s="1">
        <f t="shared" ref="AX266:AX297" si="209">IF(BE266="s",
IF(W266=0,0,
IF(W266=1,N266*2,
IF(W266=2,N266*2,
IF(W266=3,N266*2,
IF(W266=4,N266*2,
IF(W266=5,N266*2,
IF(W266=6,N266*2,
IF(W266=7,N266*2)))))))),
IF(BE266="t",
IF(W266=0,O266*2*0.8,
IF(W266=1,N266*2*0.8,
IF(W266=2,N266*2*0.8,
IF(W266=3,N266*2*0.8,
IF(W266=4,N266*2*0.8,
IF(W266=5,N266*2*0.8,
IF(W266=6,N266*1*0.8,
IF(W266=7,N266*2))))))))))</f>
        <v>0</v>
      </c>
      <c r="AY266" s="1">
        <f t="shared" si="198"/>
        <v>-10</v>
      </c>
      <c r="AZ266" s="1">
        <f t="shared" ref="AZ266:AZ297" si="210">IF(BE266="s",
IF(W266=0,0,
IF(W266=1,(14-2)*(P266+R266)/4*4,
IF(W266=2,(14-2)*(P266+R266)/4*2,
IF(W266=3,(14-2)*(P266+R266)/4*3,
IF(W266=4,(14-2)*(P266+R266)/4,
IF(W266=5,(14-2)*N266/4,
IF(W266=6,0,
IF(W266=7,(14)*R266)))))))),
IF(BE266="t",
IF(W266=0,0,
IF(W266=1,(11-2)*(P266+R266)/4*4,
IF(W266=2,(11-2)*(P266+R266)/4*2,
IF(W266=3,(11-2)*(P266+R266)/4*3,
IF(W266=4,(11-2)*(P266+R266)/4,
IF(W266=5,(11-2)*N266/4,
IF(W266=6,0,
IF(W266=7,(11)*N266))))))))))</f>
        <v>0</v>
      </c>
      <c r="BA266" s="1">
        <f t="shared" si="199"/>
        <v>-56</v>
      </c>
      <c r="BB266" s="1">
        <f t="shared" si="200"/>
        <v>0</v>
      </c>
      <c r="BC266" s="1">
        <f t="shared" si="201"/>
        <v>-4</v>
      </c>
      <c r="BD266" s="1">
        <f t="shared" si="202"/>
        <v>0</v>
      </c>
      <c r="BE266" s="1" t="s">
        <v>65</v>
      </c>
      <c r="BF266" s="1">
        <f t="shared" si="183"/>
        <v>28</v>
      </c>
      <c r="BG266" s="1">
        <f t="shared" si="203"/>
        <v>28</v>
      </c>
      <c r="BH266" s="1">
        <f t="shared" si="204"/>
        <v>1</v>
      </c>
      <c r="BI266" s="1" t="e">
        <f>IF(BH266-#REF!=0,"DOĞRU","YANLIŞ")</f>
        <v>#REF!</v>
      </c>
      <c r="BJ266" s="1" t="e">
        <f>#REF!-BH266</f>
        <v>#REF!</v>
      </c>
      <c r="BK266" s="1">
        <v>1</v>
      </c>
      <c r="BM266" s="1">
        <v>0</v>
      </c>
      <c r="BO266" s="1">
        <v>2</v>
      </c>
      <c r="BT266" s="8">
        <f t="shared" si="186"/>
        <v>0</v>
      </c>
      <c r="BU266" s="9"/>
      <c r="BV266" s="10"/>
      <c r="BW266" s="11"/>
      <c r="BX266" s="11"/>
      <c r="BY266" s="11"/>
      <c r="BZ266" s="11"/>
      <c r="CA266" s="11"/>
      <c r="CB266" s="12"/>
      <c r="CC266" s="13"/>
      <c r="CD266" s="14"/>
      <c r="CL266" s="11"/>
      <c r="CM266" s="11"/>
      <c r="CN266" s="11"/>
      <c r="CO266" s="11"/>
      <c r="CP266" s="11"/>
      <c r="CQ266" s="54"/>
      <c r="CR266" s="46"/>
      <c r="CS266" s="48"/>
      <c r="CT266" s="48"/>
      <c r="CU266" s="48"/>
      <c r="CV266" s="48"/>
      <c r="CW266" s="49"/>
      <c r="CX266" s="49"/>
    </row>
    <row r="267" spans="1:102" hidden="1" x14ac:dyDescent="0.25">
      <c r="A267" s="1" t="s">
        <v>273</v>
      </c>
      <c r="B267" s="1" t="s">
        <v>274</v>
      </c>
      <c r="C267" s="1" t="s">
        <v>274</v>
      </c>
      <c r="D267" s="2" t="s">
        <v>63</v>
      </c>
      <c r="E267" s="2" t="s">
        <v>63</v>
      </c>
      <c r="F267" s="3" t="e">
        <f>IF(BE267="S",
IF(#REF!+BM267=2018,
IF(#REF!=1,"18-19/1",
IF(#REF!=2,"18-19/2",
IF(#REF!=3,"19-20/1",
IF(#REF!=4,"19-20/2",
IF(#REF!=5,"20-21/1",
IF(#REF!=6,"20-21/2",
IF(#REF!=7,"21-22/1",
IF(#REF!=8,"21-22/2","Hata1")))))))),
IF(#REF!+BM267=2019,
IF(#REF!=1,"19-20/1",
IF(#REF!=2,"19-20/2",
IF(#REF!=3,"20-21/1",
IF(#REF!=4,"20-21/2",
IF(#REF!=5,"21-22/1",
IF(#REF!=6,"21-22/2",
IF(#REF!=7,"22-23/1",
IF(#REF!=8,"22-23/2","Hata2")))))))),
IF(#REF!+BM267=2020,
IF(#REF!=1,"20-21/1",
IF(#REF!=2,"20-21/2",
IF(#REF!=3,"21-22/1",
IF(#REF!=4,"21-22/2",
IF(#REF!=5,"22-23/1",
IF(#REF!=6,"22-23/2",
IF(#REF!=7,"23-24/1",
IF(#REF!=8,"23-24/2","Hata3")))))))),
IF(#REF!+BM267=2021,
IF(#REF!=1,"21-22/1",
IF(#REF!=2,"21-22/2",
IF(#REF!=3,"22-23/1",
IF(#REF!=4,"22-23/2",
IF(#REF!=5,"23-24/1",
IF(#REF!=6,"23-24/2",
IF(#REF!=7,"24-25/1",
IF(#REF!=8,"24-25/2","Hata4")))))))),
IF(#REF!+BM267=2022,
IF(#REF!=1,"22-23/1",
IF(#REF!=2,"22-23/2",
IF(#REF!=3,"23-24/1",
IF(#REF!=4,"23-24/2",
IF(#REF!=5,"24-25/1",
IF(#REF!=6,"24-25/2",
IF(#REF!=7,"25-26/1",
IF(#REF!=8,"25-26/2","Hata5")))))))),
IF(#REF!+BM267=2023,
IF(#REF!=1,"23-24/1",
IF(#REF!=2,"23-24/2",
IF(#REF!=3,"24-25/1",
IF(#REF!=4,"24-25/2",
IF(#REF!=5,"25-26/1",
IF(#REF!=6,"25-26/2",
IF(#REF!=7,"26-27/1",
IF(#REF!=8,"26-27/2","Hata6")))))))),
)))))),
IF(BE267="T",
IF(#REF!+BM267=2018,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7" s="1" t="s">
        <v>158</v>
      </c>
      <c r="J267" s="1">
        <v>4234780</v>
      </c>
      <c r="L267" s="2">
        <v>2016</v>
      </c>
      <c r="N267" s="2">
        <v>4</v>
      </c>
      <c r="O267" s="6">
        <f t="shared" si="188"/>
        <v>3</v>
      </c>
      <c r="P267" s="2">
        <f t="shared" si="189"/>
        <v>3</v>
      </c>
      <c r="Q267" s="2">
        <v>3</v>
      </c>
      <c r="R267" s="2">
        <v>0</v>
      </c>
      <c r="S267" s="2">
        <v>0</v>
      </c>
      <c r="X267" s="3">
        <v>2</v>
      </c>
      <c r="Y267" s="1">
        <f>VLOOKUP($X267,[34]ölçme_sistemleri!I:L,2,FALSE)</f>
        <v>0</v>
      </c>
      <c r="Z267" s="1">
        <f>VLOOKUP($X267,[34]ölçme_sistemleri!I:L,3,FALSE)</f>
        <v>2</v>
      </c>
      <c r="AA267" s="1">
        <f>VLOOKUP($X267,[34]ölçme_sistemleri!I:L,4,FALSE)</f>
        <v>1</v>
      </c>
      <c r="AB267" s="1">
        <f>$O267*[34]ölçme_sistemleri!J$13</f>
        <v>3</v>
      </c>
      <c r="AC267" s="1">
        <f>$O267*[34]ölçme_sistemleri!K$13</f>
        <v>6</v>
      </c>
      <c r="AD267" s="1">
        <f>$O267*[34]ölçme_sistemleri!L$13</f>
        <v>9</v>
      </c>
      <c r="AE267" s="1">
        <f t="shared" si="190"/>
        <v>0</v>
      </c>
      <c r="AF267" s="1">
        <f t="shared" si="191"/>
        <v>12</v>
      </c>
      <c r="AG267" s="1">
        <f t="shared" si="192"/>
        <v>9</v>
      </c>
      <c r="AH267" s="1">
        <f t="shared" si="193"/>
        <v>21</v>
      </c>
      <c r="AI267" s="1">
        <v>14</v>
      </c>
      <c r="AJ267" s="1">
        <f>VLOOKUP(X267,[34]ölçme_sistemleri!I:M,5,FALSE)</f>
        <v>2</v>
      </c>
      <c r="AK267" s="1">
        <f t="shared" si="194"/>
        <v>294</v>
      </c>
      <c r="AL267" s="1">
        <f>(Q267+S267)*AI267</f>
        <v>42</v>
      </c>
      <c r="AM267" s="1">
        <f>VLOOKUP(X267,[34]ölçme_sistemleri!I:N,6,FALSE)</f>
        <v>3</v>
      </c>
      <c r="AN267" s="1">
        <v>2</v>
      </c>
      <c r="AO267" s="1">
        <f t="shared" si="195"/>
        <v>6</v>
      </c>
      <c r="AP267" s="1">
        <v>14</v>
      </c>
      <c r="AQ267" s="1">
        <f t="shared" si="205"/>
        <v>42</v>
      </c>
      <c r="AR267" s="1">
        <f t="shared" si="196"/>
        <v>111</v>
      </c>
      <c r="AS267" s="1">
        <f>IF(BE267="s",25,30)</f>
        <v>25</v>
      </c>
      <c r="AT267" s="1">
        <f t="shared" si="197"/>
        <v>4</v>
      </c>
      <c r="AU267" s="1">
        <f t="shared" si="206"/>
        <v>0</v>
      </c>
      <c r="AV267" s="1">
        <f t="shared" si="207"/>
        <v>0</v>
      </c>
      <c r="AW267" s="1">
        <f t="shared" si="208"/>
        <v>0</v>
      </c>
      <c r="AX267" s="1">
        <f t="shared" si="209"/>
        <v>0</v>
      </c>
      <c r="AY267" s="1">
        <f t="shared" si="198"/>
        <v>-21</v>
      </c>
      <c r="AZ267" s="1">
        <f t="shared" si="210"/>
        <v>0</v>
      </c>
      <c r="BA267" s="1">
        <f t="shared" si="199"/>
        <v>-42</v>
      </c>
      <c r="BB267" s="1">
        <f t="shared" si="200"/>
        <v>0</v>
      </c>
      <c r="BC267" s="1">
        <f t="shared" si="201"/>
        <v>-6</v>
      </c>
      <c r="BD267" s="1">
        <f t="shared" si="202"/>
        <v>0</v>
      </c>
      <c r="BE267" s="1" t="s">
        <v>65</v>
      </c>
      <c r="BF267" s="1">
        <f t="shared" ref="BF267:BF298" si="211">IF(BL267="A",0,IF(BE267="s",14*O267,IF(BE267="T",11*O267,"HATA")))</f>
        <v>42</v>
      </c>
      <c r="BG267" s="1">
        <f t="shared" si="203"/>
        <v>42</v>
      </c>
      <c r="BH267" s="1">
        <f t="shared" si="204"/>
        <v>1</v>
      </c>
      <c r="BI267" s="1" t="e">
        <f>IF(BH267-#REF!=0,"DOĞRU","YANLIŞ")</f>
        <v>#REF!</v>
      </c>
      <c r="BJ267" s="1" t="e">
        <f>#REF!-BH267</f>
        <v>#REF!</v>
      </c>
      <c r="BK267" s="1">
        <v>0</v>
      </c>
      <c r="BM267" s="1">
        <v>0</v>
      </c>
      <c r="BO267" s="1">
        <v>4</v>
      </c>
      <c r="BT267" s="8">
        <f t="shared" ref="BT267:BT292" si="212">R267*14</f>
        <v>0</v>
      </c>
      <c r="BU267" s="9"/>
      <c r="BV267" s="10"/>
      <c r="BW267" s="11"/>
      <c r="BX267" s="11"/>
      <c r="BY267" s="11"/>
      <c r="BZ267" s="11"/>
      <c r="CA267" s="11"/>
      <c r="CB267" s="12"/>
      <c r="CC267" s="13"/>
      <c r="CD267" s="14"/>
      <c r="CL267" s="11"/>
      <c r="CM267" s="11"/>
      <c r="CN267" s="11"/>
      <c r="CO267" s="11"/>
      <c r="CP267" s="11"/>
      <c r="CQ267" s="54"/>
      <c r="CR267" s="46"/>
      <c r="CS267" s="48"/>
      <c r="CT267" s="48"/>
      <c r="CU267" s="48"/>
      <c r="CV267" s="48"/>
      <c r="CW267" s="49"/>
      <c r="CX267" s="49"/>
    </row>
    <row r="268" spans="1:102" hidden="1" x14ac:dyDescent="0.25">
      <c r="A268" s="1" t="s">
        <v>79</v>
      </c>
      <c r="B268" s="1" t="s">
        <v>80</v>
      </c>
      <c r="C268" s="1" t="s">
        <v>80</v>
      </c>
      <c r="D268" s="2" t="s">
        <v>58</v>
      </c>
      <c r="E268" s="2" t="s">
        <v>58</v>
      </c>
      <c r="F268" s="3" t="e">
        <f>IF(BE268="S",
IF(#REF!+BM268=2018,
IF(#REF!=1,"18-19/1",
IF(#REF!=2,"18-19/2",
IF(#REF!=3,"19-20/1",
IF(#REF!=4,"19-20/2",
IF(#REF!=5,"20-21/1",
IF(#REF!=6,"20-21/2",
IF(#REF!=7,"21-22/1",
IF(#REF!=8,"21-22/2","Hata1")))))))),
IF(#REF!+BM268=2019,
IF(#REF!=1,"19-20/1",
IF(#REF!=2,"19-20/2",
IF(#REF!=3,"20-21/1",
IF(#REF!=4,"20-21/2",
IF(#REF!=5,"21-22/1",
IF(#REF!=6,"21-22/2",
IF(#REF!=7,"22-23/1",
IF(#REF!=8,"22-23/2","Hata2")))))))),
IF(#REF!+BM268=2020,
IF(#REF!=1,"20-21/1",
IF(#REF!=2,"20-21/2",
IF(#REF!=3,"21-22/1",
IF(#REF!=4,"21-22/2",
IF(#REF!=5,"22-23/1",
IF(#REF!=6,"22-23/2",
IF(#REF!=7,"23-24/1",
IF(#REF!=8,"23-24/2","Hata3")))))))),
IF(#REF!+BM268=2021,
IF(#REF!=1,"21-22/1",
IF(#REF!=2,"21-22/2",
IF(#REF!=3,"22-23/1",
IF(#REF!=4,"22-23/2",
IF(#REF!=5,"23-24/1",
IF(#REF!=6,"23-24/2",
IF(#REF!=7,"24-25/1",
IF(#REF!=8,"24-25/2","Hata4")))))))),
IF(#REF!+BM268=2022,
IF(#REF!=1,"22-23/1",
IF(#REF!=2,"22-23/2",
IF(#REF!=3,"23-24/1",
IF(#REF!=4,"23-24/2",
IF(#REF!=5,"24-25/1",
IF(#REF!=6,"24-25/2",
IF(#REF!=7,"25-26/1",
IF(#REF!=8,"25-26/2","Hata5")))))))),
IF(#REF!+BM268=2023,
IF(#REF!=1,"23-24/1",
IF(#REF!=2,"23-24/2",
IF(#REF!=3,"24-25/1",
IF(#REF!=4,"24-25/2",
IF(#REF!=5,"25-26/1",
IF(#REF!=6,"25-26/2",
IF(#REF!=7,"26-27/1",
IF(#REF!=8,"26-27/2","Hata6")))))))),
)))))),
IF(BE268="T",
IF(#REF!+BM268=2018,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8" s="1" t="s">
        <v>158</v>
      </c>
      <c r="J268" s="1">
        <v>4234780</v>
      </c>
      <c r="L268" s="2">
        <v>3401</v>
      </c>
      <c r="N268" s="2">
        <v>4</v>
      </c>
      <c r="O268" s="6">
        <f t="shared" si="188"/>
        <v>2</v>
      </c>
      <c r="P268" s="2">
        <f t="shared" si="189"/>
        <v>2</v>
      </c>
      <c r="Q268" s="2">
        <v>2</v>
      </c>
      <c r="R268" s="2">
        <v>0</v>
      </c>
      <c r="S268" s="2">
        <v>0</v>
      </c>
      <c r="X268" s="3">
        <v>4</v>
      </c>
      <c r="Y268" s="1">
        <f>VLOOKUP($X268,[34]ölçme_sistemleri!I:L,2,FALSE)</f>
        <v>0</v>
      </c>
      <c r="Z268" s="1">
        <f>VLOOKUP($X268,[34]ölçme_sistemleri!I:L,3,FALSE)</f>
        <v>1</v>
      </c>
      <c r="AA268" s="1">
        <f>VLOOKUP($X268,[34]ölçme_sistemleri!I:L,4,FALSE)</f>
        <v>1</v>
      </c>
      <c r="AB268" s="1">
        <f>$O268*[34]ölçme_sistemleri!J$13</f>
        <v>2</v>
      </c>
      <c r="AC268" s="1">
        <f>$O268*[34]ölçme_sistemleri!K$13</f>
        <v>4</v>
      </c>
      <c r="AD268" s="1">
        <f>$O268*[34]ölçme_sistemleri!L$13</f>
        <v>6</v>
      </c>
      <c r="AE268" s="1">
        <f t="shared" si="190"/>
        <v>0</v>
      </c>
      <c r="AF268" s="1">
        <f t="shared" si="191"/>
        <v>4</v>
      </c>
      <c r="AG268" s="1">
        <f t="shared" si="192"/>
        <v>6</v>
      </c>
      <c r="AH268" s="1">
        <f t="shared" si="193"/>
        <v>10</v>
      </c>
      <c r="AI268" s="1">
        <v>14</v>
      </c>
      <c r="AJ268" s="1">
        <f>VLOOKUP(X268,[34]ölçme_sistemleri!I:M,5,FALSE)</f>
        <v>1</v>
      </c>
      <c r="AK268" s="1">
        <f t="shared" si="194"/>
        <v>140</v>
      </c>
      <c r="AL268" s="1">
        <f>((Q268+S268)*AI268)*2</f>
        <v>56</v>
      </c>
      <c r="AM268" s="1">
        <f>VLOOKUP(X268,[34]ölçme_sistemleri!I:N,6,FALSE)</f>
        <v>2</v>
      </c>
      <c r="AN268" s="1">
        <v>2</v>
      </c>
      <c r="AO268" s="1">
        <f t="shared" si="195"/>
        <v>4</v>
      </c>
      <c r="AP268" s="1">
        <v>14</v>
      </c>
      <c r="AQ268" s="1">
        <f t="shared" si="205"/>
        <v>28</v>
      </c>
      <c r="AR268" s="1">
        <f t="shared" si="196"/>
        <v>98</v>
      </c>
      <c r="AS268" s="1">
        <f>IF(BE268="s",25,25)</f>
        <v>25</v>
      </c>
      <c r="AT268" s="1">
        <f t="shared" si="197"/>
        <v>4</v>
      </c>
      <c r="AU268" s="1">
        <f t="shared" si="206"/>
        <v>0</v>
      </c>
      <c r="AV268" s="1">
        <f t="shared" si="207"/>
        <v>0</v>
      </c>
      <c r="AW268" s="1">
        <f t="shared" si="208"/>
        <v>0</v>
      </c>
      <c r="AX268" s="1">
        <f t="shared" si="209"/>
        <v>0</v>
      </c>
      <c r="AY268" s="1">
        <f t="shared" si="198"/>
        <v>-10</v>
      </c>
      <c r="AZ268" s="1">
        <f t="shared" si="210"/>
        <v>0</v>
      </c>
      <c r="BA268" s="1">
        <f t="shared" si="199"/>
        <v>-56</v>
      </c>
      <c r="BB268" s="1">
        <f t="shared" si="200"/>
        <v>0</v>
      </c>
      <c r="BC268" s="1">
        <f t="shared" si="201"/>
        <v>-4</v>
      </c>
      <c r="BD268" s="1">
        <f t="shared" si="202"/>
        <v>0</v>
      </c>
      <c r="BE268" s="1" t="s">
        <v>65</v>
      </c>
      <c r="BF268" s="1">
        <f t="shared" si="211"/>
        <v>28</v>
      </c>
      <c r="BG268" s="1">
        <f t="shared" si="203"/>
        <v>28</v>
      </c>
      <c r="BH268" s="1">
        <f t="shared" si="204"/>
        <v>1</v>
      </c>
      <c r="BI268" s="1" t="e">
        <f>IF(BH268-#REF!=0,"DOĞRU","YANLIŞ")</f>
        <v>#REF!</v>
      </c>
      <c r="BJ268" s="1" t="e">
        <f>#REF!-BH268</f>
        <v>#REF!</v>
      </c>
      <c r="BK268" s="1">
        <v>0</v>
      </c>
      <c r="BM268" s="1">
        <v>0</v>
      </c>
      <c r="BO268" s="1">
        <v>4</v>
      </c>
      <c r="BT268" s="8">
        <f t="shared" si="212"/>
        <v>0</v>
      </c>
      <c r="BU268" s="9"/>
      <c r="BV268" s="10"/>
      <c r="BW268" s="11"/>
      <c r="BX268" s="11"/>
      <c r="BY268" s="11"/>
      <c r="BZ268" s="11"/>
      <c r="CA268" s="11"/>
      <c r="CB268" s="12"/>
      <c r="CC268" s="13"/>
      <c r="CD268" s="14"/>
      <c r="CL268" s="11"/>
      <c r="CM268" s="11"/>
      <c r="CN268" s="11"/>
      <c r="CO268" s="11"/>
      <c r="CP268" s="11"/>
      <c r="CQ268" s="54"/>
      <c r="CR268" s="46"/>
      <c r="CS268" s="48"/>
      <c r="CT268" s="48"/>
      <c r="CU268" s="48"/>
      <c r="CV268" s="48"/>
      <c r="CW268" s="49"/>
      <c r="CX268" s="49"/>
    </row>
    <row r="269" spans="1:102" hidden="1" x14ac:dyDescent="0.25">
      <c r="A269" s="1" t="s">
        <v>256</v>
      </c>
      <c r="B269" s="1" t="s">
        <v>257</v>
      </c>
      <c r="C269" s="1" t="s">
        <v>257</v>
      </c>
      <c r="D269" s="2" t="s">
        <v>63</v>
      </c>
      <c r="E269" s="2" t="s">
        <v>63</v>
      </c>
      <c r="F269" s="3" t="e">
        <f>IF(BE269="S",
IF(#REF!+BM269=2018,
IF(#REF!=1,"18-19/1",
IF(#REF!=2,"18-19/2",
IF(#REF!=3,"19-20/1",
IF(#REF!=4,"19-20/2",
IF(#REF!=5,"20-21/1",
IF(#REF!=6,"20-21/2",
IF(#REF!=7,"21-22/1",
IF(#REF!=8,"21-22/2","Hata1")))))))),
IF(#REF!+BM269=2019,
IF(#REF!=1,"19-20/1",
IF(#REF!=2,"19-20/2",
IF(#REF!=3,"20-21/1",
IF(#REF!=4,"20-21/2",
IF(#REF!=5,"21-22/1",
IF(#REF!=6,"21-22/2",
IF(#REF!=7,"22-23/1",
IF(#REF!=8,"22-23/2","Hata2")))))))),
IF(#REF!+BM269=2020,
IF(#REF!=1,"20-21/1",
IF(#REF!=2,"20-21/2",
IF(#REF!=3,"21-22/1",
IF(#REF!=4,"21-22/2",
IF(#REF!=5,"22-23/1",
IF(#REF!=6,"22-23/2",
IF(#REF!=7,"23-24/1",
IF(#REF!=8,"23-24/2","Hata3")))))))),
IF(#REF!+BM269=2021,
IF(#REF!=1,"21-22/1",
IF(#REF!=2,"21-22/2",
IF(#REF!=3,"22-23/1",
IF(#REF!=4,"22-23/2",
IF(#REF!=5,"23-24/1",
IF(#REF!=6,"23-24/2",
IF(#REF!=7,"24-25/1",
IF(#REF!=8,"24-25/2","Hata4")))))))),
IF(#REF!+BM269=2022,
IF(#REF!=1,"22-23/1",
IF(#REF!=2,"22-23/2",
IF(#REF!=3,"23-24/1",
IF(#REF!=4,"23-24/2",
IF(#REF!=5,"24-25/1",
IF(#REF!=6,"24-25/2",
IF(#REF!=7,"25-26/1",
IF(#REF!=8,"25-26/2","Hata5")))))))),
IF(#REF!+BM269=2023,
IF(#REF!=1,"23-24/1",
IF(#REF!=2,"23-24/2",
IF(#REF!=3,"24-25/1",
IF(#REF!=4,"24-25/2",
IF(#REF!=5,"25-26/1",
IF(#REF!=6,"25-26/2",
IF(#REF!=7,"26-27/1",
IF(#REF!=8,"26-27/2","Hata6")))))))),
)))))),
IF(BE269="T",
IF(#REF!+BM269=2018,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IF(#REF!+BM269=2019,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IF(#REF!+BM269=2020,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IF(#REF!+BM269=2021,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IF(#REF!+BM269=2022,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IF(#REF!+BM269=2023,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69" s="1" t="s">
        <v>158</v>
      </c>
      <c r="J269" s="1">
        <v>4234780</v>
      </c>
      <c r="L269" s="2">
        <v>3502</v>
      </c>
      <c r="N269" s="2">
        <v>5</v>
      </c>
      <c r="O269" s="6">
        <f t="shared" si="188"/>
        <v>3</v>
      </c>
      <c r="P269" s="2">
        <f t="shared" si="189"/>
        <v>3</v>
      </c>
      <c r="Q269" s="2">
        <v>0</v>
      </c>
      <c r="R269" s="2">
        <v>0</v>
      </c>
      <c r="S269" s="2">
        <v>3</v>
      </c>
      <c r="X269" s="3">
        <v>3</v>
      </c>
      <c r="Y269" s="1">
        <f>VLOOKUP($X269,[34]ölçme_sistemleri!I:L,2,FALSE)</f>
        <v>2</v>
      </c>
      <c r="Z269" s="1">
        <f>VLOOKUP($X269,[34]ölçme_sistemleri!I:L,3,FALSE)</f>
        <v>1</v>
      </c>
      <c r="AA269" s="1">
        <f>VLOOKUP($X269,[34]ölçme_sistemleri!I:L,4,FALSE)</f>
        <v>1</v>
      </c>
      <c r="AB269" s="1">
        <f>$O269*[34]ölçme_sistemleri!J$13</f>
        <v>3</v>
      </c>
      <c r="AC269" s="1">
        <f>$O269*[34]ölçme_sistemleri!K$13</f>
        <v>6</v>
      </c>
      <c r="AD269" s="1">
        <f>$O269*[34]ölçme_sistemleri!L$13</f>
        <v>9</v>
      </c>
      <c r="AE269" s="1">
        <f t="shared" si="190"/>
        <v>6</v>
      </c>
      <c r="AF269" s="1">
        <f t="shared" si="191"/>
        <v>6</v>
      </c>
      <c r="AG269" s="1">
        <f t="shared" si="192"/>
        <v>9</v>
      </c>
      <c r="AH269" s="1">
        <f t="shared" si="193"/>
        <v>21</v>
      </c>
      <c r="AI269" s="1">
        <v>14</v>
      </c>
      <c r="AJ269" s="1">
        <f>VLOOKUP(X269,[34]ölçme_sistemleri!I:M,5,FALSE)</f>
        <v>3</v>
      </c>
      <c r="AK269" s="1">
        <f t="shared" si="194"/>
        <v>294</v>
      </c>
      <c r="AL269" s="1">
        <f>(Q269+S269)*AI269</f>
        <v>42</v>
      </c>
      <c r="AM269" s="1">
        <f>VLOOKUP(X269,[34]ölçme_sistemleri!I:N,6,FALSE)</f>
        <v>4</v>
      </c>
      <c r="AN269" s="1">
        <v>2</v>
      </c>
      <c r="AO269" s="1">
        <f t="shared" si="195"/>
        <v>8</v>
      </c>
      <c r="AP269" s="1">
        <v>14</v>
      </c>
      <c r="AQ269" s="1">
        <f t="shared" si="205"/>
        <v>42</v>
      </c>
      <c r="AR269" s="1">
        <f t="shared" si="196"/>
        <v>113</v>
      </c>
      <c r="AS269" s="1">
        <f>IF(BE269="s",25,30)</f>
        <v>25</v>
      </c>
      <c r="AT269" s="1">
        <f t="shared" si="197"/>
        <v>5</v>
      </c>
      <c r="AU269" s="1">
        <f t="shared" si="206"/>
        <v>0</v>
      </c>
      <c r="AV269" s="1">
        <f t="shared" si="207"/>
        <v>0</v>
      </c>
      <c r="AW269" s="1">
        <f t="shared" si="208"/>
        <v>0</v>
      </c>
      <c r="AX269" s="1">
        <f t="shared" si="209"/>
        <v>0</v>
      </c>
      <c r="AY269" s="1">
        <f t="shared" si="198"/>
        <v>-21</v>
      </c>
      <c r="AZ269" s="1">
        <f t="shared" si="210"/>
        <v>0</v>
      </c>
      <c r="BA269" s="1">
        <f t="shared" si="199"/>
        <v>-42</v>
      </c>
      <c r="BB269" s="1">
        <f t="shared" si="200"/>
        <v>0</v>
      </c>
      <c r="BC269" s="1">
        <f t="shared" si="201"/>
        <v>-8</v>
      </c>
      <c r="BD269" s="1">
        <f t="shared" si="202"/>
        <v>0</v>
      </c>
      <c r="BE269" s="1" t="s">
        <v>65</v>
      </c>
      <c r="BF269" s="1">
        <f t="shared" si="211"/>
        <v>42</v>
      </c>
      <c r="BG269" s="1">
        <f t="shared" si="203"/>
        <v>42</v>
      </c>
      <c r="BH269" s="1">
        <f t="shared" si="204"/>
        <v>1</v>
      </c>
      <c r="BI269" s="1" t="e">
        <f>IF(BH269-#REF!=0,"DOĞRU","YANLIŞ")</f>
        <v>#REF!</v>
      </c>
      <c r="BJ269" s="1" t="e">
        <f>#REF!-BH269</f>
        <v>#REF!</v>
      </c>
      <c r="BK269" s="1">
        <v>0</v>
      </c>
      <c r="BM269" s="1">
        <v>0</v>
      </c>
      <c r="BO269" s="1">
        <v>4</v>
      </c>
      <c r="BT269" s="8">
        <f t="shared" si="212"/>
        <v>0</v>
      </c>
      <c r="BU269" s="9"/>
      <c r="BV269" s="10"/>
      <c r="BW269" s="11"/>
      <c r="BX269" s="11"/>
      <c r="BY269" s="11"/>
      <c r="BZ269" s="11"/>
      <c r="CA269" s="11"/>
      <c r="CB269" s="12"/>
      <c r="CC269" s="13"/>
      <c r="CD269" s="14"/>
      <c r="CL269" s="11"/>
      <c r="CM269" s="11"/>
      <c r="CN269" s="11"/>
      <c r="CO269" s="11"/>
      <c r="CP269" s="11"/>
      <c r="CQ269" s="46"/>
      <c r="CR269" s="46"/>
      <c r="CS269" s="48"/>
      <c r="CT269" s="48"/>
      <c r="CU269" s="48"/>
      <c r="CV269" s="48"/>
      <c r="CW269" s="49"/>
      <c r="CX269" s="49"/>
    </row>
    <row r="270" spans="1:102" hidden="1" x14ac:dyDescent="0.25">
      <c r="A270" s="1" t="s">
        <v>254</v>
      </c>
      <c r="B270" s="1" t="s">
        <v>255</v>
      </c>
      <c r="C270" s="1" t="s">
        <v>255</v>
      </c>
      <c r="D270" s="2" t="s">
        <v>63</v>
      </c>
      <c r="E270" s="2" t="s">
        <v>63</v>
      </c>
      <c r="F270" s="3" t="e">
        <f>IF(BE270="S",
IF(#REF!+BM270=2018,
IF(#REF!=1,"18-19/1",
IF(#REF!=2,"18-19/2",
IF(#REF!=3,"19-20/1",
IF(#REF!=4,"19-20/2",
IF(#REF!=5,"20-21/1",
IF(#REF!=6,"20-21/2",
IF(#REF!=7,"21-22/1",
IF(#REF!=8,"21-22/2","Hata1")))))))),
IF(#REF!+BM270=2019,
IF(#REF!=1,"19-20/1",
IF(#REF!=2,"19-20/2",
IF(#REF!=3,"20-21/1",
IF(#REF!=4,"20-21/2",
IF(#REF!=5,"21-22/1",
IF(#REF!=6,"21-22/2",
IF(#REF!=7,"22-23/1",
IF(#REF!=8,"22-23/2","Hata2")))))))),
IF(#REF!+BM270=2020,
IF(#REF!=1,"20-21/1",
IF(#REF!=2,"20-21/2",
IF(#REF!=3,"21-22/1",
IF(#REF!=4,"21-22/2",
IF(#REF!=5,"22-23/1",
IF(#REF!=6,"22-23/2",
IF(#REF!=7,"23-24/1",
IF(#REF!=8,"23-24/2","Hata3")))))))),
IF(#REF!+BM270=2021,
IF(#REF!=1,"21-22/1",
IF(#REF!=2,"21-22/2",
IF(#REF!=3,"22-23/1",
IF(#REF!=4,"22-23/2",
IF(#REF!=5,"23-24/1",
IF(#REF!=6,"23-24/2",
IF(#REF!=7,"24-25/1",
IF(#REF!=8,"24-25/2","Hata4")))))))),
IF(#REF!+BM270=2022,
IF(#REF!=1,"22-23/1",
IF(#REF!=2,"22-23/2",
IF(#REF!=3,"23-24/1",
IF(#REF!=4,"23-24/2",
IF(#REF!=5,"24-25/1",
IF(#REF!=6,"24-25/2",
IF(#REF!=7,"25-26/1",
IF(#REF!=8,"25-26/2","Hata5")))))))),
IF(#REF!+BM270=2023,
IF(#REF!=1,"23-24/1",
IF(#REF!=2,"23-24/2",
IF(#REF!=3,"24-25/1",
IF(#REF!=4,"24-25/2",
IF(#REF!=5,"25-26/1",
IF(#REF!=6,"25-26/2",
IF(#REF!=7,"26-27/1",
IF(#REF!=8,"26-27/2","Hata6")))))))),
)))))),
IF(BE270="T",
IF(#REF!+BM270=2018,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0" s="1" t="s">
        <v>158</v>
      </c>
      <c r="J270" s="1">
        <v>4234788</v>
      </c>
      <c r="L270" s="2">
        <v>3504</v>
      </c>
      <c r="N270" s="2">
        <v>5</v>
      </c>
      <c r="O270" s="6">
        <f t="shared" si="188"/>
        <v>3</v>
      </c>
      <c r="P270" s="2">
        <f t="shared" si="189"/>
        <v>3</v>
      </c>
      <c r="Q270" s="2">
        <v>3</v>
      </c>
      <c r="R270" s="2">
        <v>0</v>
      </c>
      <c r="S270" s="2">
        <v>0</v>
      </c>
      <c r="X270" s="3">
        <v>3</v>
      </c>
      <c r="Y270" s="1">
        <f>VLOOKUP($X270,[35]ölçme_sistemleri!I:L,2,FALSE)</f>
        <v>2</v>
      </c>
      <c r="Z270" s="1">
        <f>VLOOKUP($X270,[35]ölçme_sistemleri!I:L,3,FALSE)</f>
        <v>1</v>
      </c>
      <c r="AA270" s="1">
        <f>VLOOKUP($X270,[35]ölçme_sistemleri!I:L,4,FALSE)</f>
        <v>1</v>
      </c>
      <c r="AB270" s="1">
        <f>$O270*[35]ölçme_sistemleri!J$13</f>
        <v>3</v>
      </c>
      <c r="AC270" s="1">
        <f>$O270*[35]ölçme_sistemleri!K$13</f>
        <v>6</v>
      </c>
      <c r="AD270" s="1">
        <f>$O270*[35]ölçme_sistemleri!L$13</f>
        <v>9</v>
      </c>
      <c r="AE270" s="1">
        <f t="shared" si="190"/>
        <v>6</v>
      </c>
      <c r="AF270" s="1">
        <f t="shared" si="191"/>
        <v>6</v>
      </c>
      <c r="AG270" s="1">
        <f t="shared" si="192"/>
        <v>9</v>
      </c>
      <c r="AH270" s="1">
        <f t="shared" si="193"/>
        <v>21</v>
      </c>
      <c r="AI270" s="1">
        <v>14</v>
      </c>
      <c r="AJ270" s="1">
        <f>VLOOKUP(X270,[35]ölçme_sistemleri!I:M,5,FALSE)</f>
        <v>3</v>
      </c>
      <c r="AK270" s="1">
        <f t="shared" si="194"/>
        <v>294</v>
      </c>
      <c r="AL270" s="1">
        <f>(Q270+S270)*AI270</f>
        <v>42</v>
      </c>
      <c r="AM270" s="1">
        <f>VLOOKUP(X270,[35]ölçme_sistemleri!I:N,6,FALSE)</f>
        <v>4</v>
      </c>
      <c r="AN270" s="1">
        <v>2</v>
      </c>
      <c r="AO270" s="1">
        <f t="shared" si="195"/>
        <v>8</v>
      </c>
      <c r="AP270" s="1">
        <v>14</v>
      </c>
      <c r="AQ270" s="1">
        <f t="shared" si="205"/>
        <v>42</v>
      </c>
      <c r="AR270" s="1">
        <f t="shared" si="196"/>
        <v>113</v>
      </c>
      <c r="AS270" s="1">
        <f>IF(BE270="s",25,25)</f>
        <v>25</v>
      </c>
      <c r="AT270" s="1">
        <f t="shared" si="197"/>
        <v>5</v>
      </c>
      <c r="AU270" s="1">
        <f t="shared" si="206"/>
        <v>0</v>
      </c>
      <c r="AV270" s="1">
        <f t="shared" si="207"/>
        <v>0</v>
      </c>
      <c r="AW270" s="1">
        <f t="shared" si="208"/>
        <v>0</v>
      </c>
      <c r="AX270" s="1">
        <f t="shared" si="209"/>
        <v>0</v>
      </c>
      <c r="AY270" s="1">
        <f t="shared" si="198"/>
        <v>-21</v>
      </c>
      <c r="AZ270" s="1">
        <f t="shared" si="210"/>
        <v>0</v>
      </c>
      <c r="BA270" s="1">
        <f t="shared" si="199"/>
        <v>-42</v>
      </c>
      <c r="BB270" s="1">
        <f t="shared" si="200"/>
        <v>0</v>
      </c>
      <c r="BC270" s="1">
        <f t="shared" si="201"/>
        <v>-8</v>
      </c>
      <c r="BD270" s="1">
        <f t="shared" si="202"/>
        <v>0</v>
      </c>
      <c r="BE270" s="1" t="s">
        <v>65</v>
      </c>
      <c r="BF270" s="1">
        <f t="shared" si="211"/>
        <v>42</v>
      </c>
      <c r="BG270" s="1">
        <f t="shared" si="203"/>
        <v>42</v>
      </c>
      <c r="BH270" s="1">
        <f t="shared" si="204"/>
        <v>1</v>
      </c>
      <c r="BI270" s="1" t="e">
        <f>IF(BH270-#REF!=0,"DOĞRU","YANLIŞ")</f>
        <v>#REF!</v>
      </c>
      <c r="BJ270" s="1" t="e">
        <f>#REF!-BH270</f>
        <v>#REF!</v>
      </c>
      <c r="BK270" s="1">
        <v>0</v>
      </c>
      <c r="BM270" s="1">
        <v>0</v>
      </c>
      <c r="BO270" s="1">
        <v>4</v>
      </c>
      <c r="BT270" s="8">
        <f t="shared" si="212"/>
        <v>0</v>
      </c>
      <c r="BU270" s="9"/>
      <c r="BV270" s="10"/>
      <c r="BW270" s="11"/>
      <c r="BX270" s="11"/>
      <c r="BY270" s="11"/>
      <c r="BZ270" s="11"/>
      <c r="CA270" s="11"/>
      <c r="CB270" s="12"/>
      <c r="CC270" s="13"/>
      <c r="CD270" s="14"/>
      <c r="CL270" s="11"/>
      <c r="CM270" s="11"/>
      <c r="CN270" s="11"/>
      <c r="CO270" s="11"/>
      <c r="CP270" s="11"/>
      <c r="CQ270" s="49"/>
      <c r="CR270" s="46"/>
      <c r="CS270" s="53"/>
      <c r="CT270" s="53"/>
      <c r="CU270" s="53"/>
      <c r="CV270" s="53"/>
      <c r="CW270" s="49"/>
      <c r="CX270" s="49"/>
    </row>
    <row r="271" spans="1:102" hidden="1" x14ac:dyDescent="0.25">
      <c r="A271" s="1" t="s">
        <v>275</v>
      </c>
      <c r="B271" s="1" t="s">
        <v>276</v>
      </c>
      <c r="C271" s="1" t="s">
        <v>276</v>
      </c>
      <c r="D271" s="2" t="s">
        <v>63</v>
      </c>
      <c r="E271" s="2" t="s">
        <v>63</v>
      </c>
      <c r="F271" s="3" t="e">
        <f>IF(BE271="S",
IF(#REF!+BM271=2018,
IF(#REF!=1,"18-19/1",
IF(#REF!=2,"18-19/2",
IF(#REF!=3,"19-20/1",
IF(#REF!=4,"19-20/2",
IF(#REF!=5,"20-21/1",
IF(#REF!=6,"20-21/2",
IF(#REF!=7,"21-22/1",
IF(#REF!=8,"21-22/2","Hata1")))))))),
IF(#REF!+BM271=2019,
IF(#REF!=1,"19-20/1",
IF(#REF!=2,"19-20/2",
IF(#REF!=3,"20-21/1",
IF(#REF!=4,"20-21/2",
IF(#REF!=5,"21-22/1",
IF(#REF!=6,"21-22/2",
IF(#REF!=7,"22-23/1",
IF(#REF!=8,"22-23/2","Hata2")))))))),
IF(#REF!+BM271=2020,
IF(#REF!=1,"20-21/1",
IF(#REF!=2,"20-21/2",
IF(#REF!=3,"21-22/1",
IF(#REF!=4,"21-22/2",
IF(#REF!=5,"22-23/1",
IF(#REF!=6,"22-23/2",
IF(#REF!=7,"23-24/1",
IF(#REF!=8,"23-24/2","Hata3")))))))),
IF(#REF!+BM271=2021,
IF(#REF!=1,"21-22/1",
IF(#REF!=2,"21-22/2",
IF(#REF!=3,"22-23/1",
IF(#REF!=4,"22-23/2",
IF(#REF!=5,"23-24/1",
IF(#REF!=6,"23-24/2",
IF(#REF!=7,"24-25/1",
IF(#REF!=8,"24-25/2","Hata4")))))))),
IF(#REF!+BM271=2022,
IF(#REF!=1,"22-23/1",
IF(#REF!=2,"22-23/2",
IF(#REF!=3,"23-24/1",
IF(#REF!=4,"23-24/2",
IF(#REF!=5,"24-25/1",
IF(#REF!=6,"24-25/2",
IF(#REF!=7,"25-26/1",
IF(#REF!=8,"25-26/2","Hata5")))))))),
IF(#REF!+BM271=2023,
IF(#REF!=1,"23-24/1",
IF(#REF!=2,"23-24/2",
IF(#REF!=3,"24-25/1",
IF(#REF!=4,"24-25/2",
IF(#REF!=5,"25-26/1",
IF(#REF!=6,"25-26/2",
IF(#REF!=7,"26-27/1",
IF(#REF!=8,"26-27/2","Hata6")))))))),
)))))),
IF(BE271="T",
IF(#REF!+BM271=2018,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1" s="1" t="s">
        <v>158</v>
      </c>
      <c r="J271" s="1">
        <v>4234788</v>
      </c>
      <c r="L271" s="2">
        <v>3514</v>
      </c>
      <c r="N271" s="2">
        <v>5</v>
      </c>
      <c r="O271" s="6">
        <f t="shared" si="188"/>
        <v>3</v>
      </c>
      <c r="P271" s="2">
        <f t="shared" si="189"/>
        <v>3</v>
      </c>
      <c r="Q271" s="2">
        <v>3</v>
      </c>
      <c r="R271" s="2">
        <v>0</v>
      </c>
      <c r="S271" s="2">
        <v>0</v>
      </c>
      <c r="X271" s="3">
        <v>3</v>
      </c>
      <c r="Y271" s="1">
        <f>VLOOKUP($X271,[34]ölçme_sistemleri!I:L,2,FALSE)</f>
        <v>2</v>
      </c>
      <c r="Z271" s="1">
        <f>VLOOKUP($X271,[34]ölçme_sistemleri!I:L,3,FALSE)</f>
        <v>1</v>
      </c>
      <c r="AA271" s="1">
        <f>VLOOKUP($X271,[34]ölçme_sistemleri!I:L,4,FALSE)</f>
        <v>1</v>
      </c>
      <c r="AB271" s="1">
        <f>$O271*[34]ölçme_sistemleri!J$13</f>
        <v>3</v>
      </c>
      <c r="AC271" s="1">
        <f>$O271*[34]ölçme_sistemleri!K$13</f>
        <v>6</v>
      </c>
      <c r="AD271" s="1">
        <f>$O271*[34]ölçme_sistemleri!L$13</f>
        <v>9</v>
      </c>
      <c r="AE271" s="1">
        <f t="shared" si="190"/>
        <v>6</v>
      </c>
      <c r="AF271" s="1">
        <f t="shared" si="191"/>
        <v>6</v>
      </c>
      <c r="AG271" s="1">
        <f t="shared" si="192"/>
        <v>9</v>
      </c>
      <c r="AH271" s="1">
        <f t="shared" si="193"/>
        <v>21</v>
      </c>
      <c r="AI271" s="1">
        <v>14</v>
      </c>
      <c r="AJ271" s="1">
        <f>VLOOKUP(X271,[34]ölçme_sistemleri!I:M,5,FALSE)</f>
        <v>3</v>
      </c>
      <c r="AK271" s="1">
        <f t="shared" si="194"/>
        <v>294</v>
      </c>
      <c r="AL271" s="1">
        <f>(Q271+S271)*AI271</f>
        <v>42</v>
      </c>
      <c r="AM271" s="1">
        <f>VLOOKUP(X271,[34]ölçme_sistemleri!I:N,6,FALSE)</f>
        <v>4</v>
      </c>
      <c r="AN271" s="1">
        <v>2</v>
      </c>
      <c r="AO271" s="1">
        <f t="shared" si="195"/>
        <v>8</v>
      </c>
      <c r="AP271" s="1">
        <v>14</v>
      </c>
      <c r="AQ271" s="1">
        <f t="shared" si="205"/>
        <v>42</v>
      </c>
      <c r="AR271" s="1">
        <f t="shared" si="196"/>
        <v>113</v>
      </c>
      <c r="AS271" s="1">
        <f>IF(BE271="s",25,30)</f>
        <v>25</v>
      </c>
      <c r="AT271" s="1">
        <f t="shared" si="197"/>
        <v>5</v>
      </c>
      <c r="AU271" s="1">
        <f t="shared" si="206"/>
        <v>0</v>
      </c>
      <c r="AV271" s="1">
        <f t="shared" si="207"/>
        <v>0</v>
      </c>
      <c r="AW271" s="1">
        <f t="shared" si="208"/>
        <v>0</v>
      </c>
      <c r="AX271" s="1">
        <f t="shared" si="209"/>
        <v>0</v>
      </c>
      <c r="AY271" s="1">
        <f t="shared" si="198"/>
        <v>-21</v>
      </c>
      <c r="AZ271" s="1">
        <f t="shared" si="210"/>
        <v>0</v>
      </c>
      <c r="BA271" s="1">
        <f t="shared" si="199"/>
        <v>-42</v>
      </c>
      <c r="BB271" s="1">
        <f t="shared" si="200"/>
        <v>0</v>
      </c>
      <c r="BC271" s="1">
        <f t="shared" si="201"/>
        <v>-8</v>
      </c>
      <c r="BD271" s="1">
        <f t="shared" si="202"/>
        <v>0</v>
      </c>
      <c r="BE271" s="1" t="s">
        <v>65</v>
      </c>
      <c r="BF271" s="1">
        <f t="shared" si="211"/>
        <v>42</v>
      </c>
      <c r="BG271" s="1">
        <f t="shared" si="203"/>
        <v>42</v>
      </c>
      <c r="BH271" s="1">
        <f t="shared" si="204"/>
        <v>1</v>
      </c>
      <c r="BI271" s="1" t="e">
        <f>IF(BH271-#REF!=0,"DOĞRU","YANLIŞ")</f>
        <v>#REF!</v>
      </c>
      <c r="BJ271" s="1" t="e">
        <f>#REF!-BH271</f>
        <v>#REF!</v>
      </c>
      <c r="BK271" s="1">
        <v>0</v>
      </c>
      <c r="BM271" s="1">
        <v>0</v>
      </c>
      <c r="BO271" s="1">
        <v>4</v>
      </c>
      <c r="BT271" s="8">
        <f t="shared" si="212"/>
        <v>0</v>
      </c>
      <c r="BU271" s="9"/>
      <c r="BV271" s="10"/>
      <c r="BW271" s="11"/>
      <c r="BX271" s="11"/>
      <c r="BY271" s="11"/>
      <c r="BZ271" s="11"/>
      <c r="CA271" s="11"/>
      <c r="CB271" s="12"/>
      <c r="CC271" s="13"/>
      <c r="CD271" s="14"/>
      <c r="CL271" s="11"/>
      <c r="CM271" s="11"/>
      <c r="CN271" s="11"/>
      <c r="CO271" s="11"/>
      <c r="CP271" s="11"/>
      <c r="CQ271" s="49"/>
      <c r="CR271" s="46"/>
      <c r="CS271" s="54"/>
      <c r="CT271" s="48"/>
      <c r="CU271" s="48"/>
      <c r="CV271" s="48"/>
      <c r="CW271" s="49"/>
      <c r="CX271" s="49"/>
    </row>
    <row r="272" spans="1:102" hidden="1" x14ac:dyDescent="0.25">
      <c r="A272" s="1" t="s">
        <v>268</v>
      </c>
      <c r="B272" s="1" t="s">
        <v>269</v>
      </c>
      <c r="C272" s="1" t="s">
        <v>269</v>
      </c>
      <c r="D272" s="2" t="s">
        <v>63</v>
      </c>
      <c r="E272" s="2" t="s">
        <v>63</v>
      </c>
      <c r="F272" s="3" t="e">
        <f>IF(BE272="S",
IF(#REF!+BM272=2018,
IF(#REF!=1,"18-19/1",
IF(#REF!=2,"18-19/2",
IF(#REF!=3,"19-20/1",
IF(#REF!=4,"19-20/2",
IF(#REF!=5,"20-21/1",
IF(#REF!=6,"20-21/2",
IF(#REF!=7,"21-22/1",
IF(#REF!=8,"21-22/2","Hata1")))))))),
IF(#REF!+BM272=2019,
IF(#REF!=1,"19-20/1",
IF(#REF!=2,"19-20/2",
IF(#REF!=3,"20-21/1",
IF(#REF!=4,"20-21/2",
IF(#REF!=5,"21-22/1",
IF(#REF!=6,"21-22/2",
IF(#REF!=7,"22-23/1",
IF(#REF!=8,"22-23/2","Hata2")))))))),
IF(#REF!+BM272=2020,
IF(#REF!=1,"20-21/1",
IF(#REF!=2,"20-21/2",
IF(#REF!=3,"21-22/1",
IF(#REF!=4,"21-22/2",
IF(#REF!=5,"22-23/1",
IF(#REF!=6,"22-23/2",
IF(#REF!=7,"23-24/1",
IF(#REF!=8,"23-24/2","Hata3")))))))),
IF(#REF!+BM272=2021,
IF(#REF!=1,"21-22/1",
IF(#REF!=2,"21-22/2",
IF(#REF!=3,"22-23/1",
IF(#REF!=4,"22-23/2",
IF(#REF!=5,"23-24/1",
IF(#REF!=6,"23-24/2",
IF(#REF!=7,"24-25/1",
IF(#REF!=8,"24-25/2","Hata4")))))))),
IF(#REF!+BM272=2022,
IF(#REF!=1,"22-23/1",
IF(#REF!=2,"22-23/2",
IF(#REF!=3,"23-24/1",
IF(#REF!=4,"23-24/2",
IF(#REF!=5,"24-25/1",
IF(#REF!=6,"24-25/2",
IF(#REF!=7,"25-26/1",
IF(#REF!=8,"25-26/2","Hata5")))))))),
IF(#REF!+BM272=2023,
IF(#REF!=1,"23-24/1",
IF(#REF!=2,"23-24/2",
IF(#REF!=3,"24-25/1",
IF(#REF!=4,"24-25/2",
IF(#REF!=5,"25-26/1",
IF(#REF!=6,"25-26/2",
IF(#REF!=7,"26-27/1",
IF(#REF!=8,"26-27/2","Hata6")))))))),
)))))),
IF(BE272="T",
IF(#REF!+BM272=2018,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2" s="1" t="s">
        <v>158</v>
      </c>
      <c r="J272" s="1">
        <v>4234780</v>
      </c>
      <c r="L272" s="2">
        <v>3495</v>
      </c>
      <c r="N272" s="2">
        <v>4</v>
      </c>
      <c r="O272" s="6">
        <f t="shared" si="188"/>
        <v>2</v>
      </c>
      <c r="P272" s="2">
        <f t="shared" si="189"/>
        <v>2</v>
      </c>
      <c r="Q272" s="2">
        <v>0</v>
      </c>
      <c r="R272" s="2">
        <v>0</v>
      </c>
      <c r="S272" s="2">
        <v>2</v>
      </c>
      <c r="X272" s="3">
        <v>4</v>
      </c>
      <c r="Y272" s="1">
        <f>VLOOKUP($X272,[32]ölçme_sistemleri!I:L,2,FALSE)</f>
        <v>0</v>
      </c>
      <c r="Z272" s="1">
        <f>VLOOKUP($X272,[32]ölçme_sistemleri!I:L,3,FALSE)</f>
        <v>1</v>
      </c>
      <c r="AA272" s="1">
        <f>VLOOKUP($X272,[32]ölçme_sistemleri!I:L,4,FALSE)</f>
        <v>1</v>
      </c>
      <c r="AB272" s="1">
        <f>$O272*[32]ölçme_sistemleri!J$13</f>
        <v>2</v>
      </c>
      <c r="AC272" s="1">
        <f>$O272*[32]ölçme_sistemleri!K$13</f>
        <v>4</v>
      </c>
      <c r="AD272" s="1">
        <f>$O272*[32]ölçme_sistemleri!L$13</f>
        <v>6</v>
      </c>
      <c r="AE272" s="1">
        <f t="shared" si="190"/>
        <v>0</v>
      </c>
      <c r="AF272" s="1">
        <f t="shared" si="191"/>
        <v>4</v>
      </c>
      <c r="AG272" s="1">
        <f t="shared" si="192"/>
        <v>6</v>
      </c>
      <c r="AH272" s="1">
        <f t="shared" si="193"/>
        <v>10</v>
      </c>
      <c r="AI272" s="1">
        <v>14</v>
      </c>
      <c r="AJ272" s="1">
        <f>VLOOKUP(X272,[32]ölçme_sistemleri!I:M,5,FALSE)</f>
        <v>1</v>
      </c>
      <c r="AK272" s="1">
        <f t="shared" si="194"/>
        <v>140</v>
      </c>
      <c r="AL272" s="1">
        <f>AI272*4</f>
        <v>56</v>
      </c>
      <c r="AM272" s="1">
        <f>VLOOKUP(X272,[32]ölçme_sistemleri!I:N,6,FALSE)</f>
        <v>2</v>
      </c>
      <c r="AN272" s="1">
        <v>2</v>
      </c>
      <c r="AO272" s="1">
        <f t="shared" si="195"/>
        <v>4</v>
      </c>
      <c r="AP272" s="1">
        <v>14</v>
      </c>
      <c r="AQ272" s="1">
        <f t="shared" si="205"/>
        <v>28</v>
      </c>
      <c r="AR272" s="1">
        <f t="shared" si="196"/>
        <v>98</v>
      </c>
      <c r="AS272" s="1">
        <f>IF(BE272="s",25,30)</f>
        <v>25</v>
      </c>
      <c r="AT272" s="1">
        <f t="shared" si="197"/>
        <v>4</v>
      </c>
      <c r="AU272" s="1">
        <f t="shared" si="206"/>
        <v>0</v>
      </c>
      <c r="AV272" s="1">
        <f t="shared" si="207"/>
        <v>0</v>
      </c>
      <c r="AW272" s="1">
        <f t="shared" si="208"/>
        <v>0</v>
      </c>
      <c r="AX272" s="1">
        <f t="shared" si="209"/>
        <v>0</v>
      </c>
      <c r="AY272" s="1">
        <f t="shared" si="198"/>
        <v>-10</v>
      </c>
      <c r="AZ272" s="1">
        <f t="shared" si="210"/>
        <v>0</v>
      </c>
      <c r="BA272" s="1">
        <f t="shared" si="199"/>
        <v>-56</v>
      </c>
      <c r="BB272" s="1">
        <f t="shared" si="200"/>
        <v>0</v>
      </c>
      <c r="BC272" s="1">
        <f t="shared" si="201"/>
        <v>-4</v>
      </c>
      <c r="BD272" s="1">
        <f t="shared" si="202"/>
        <v>0</v>
      </c>
      <c r="BE272" s="1" t="s">
        <v>65</v>
      </c>
      <c r="BF272" s="1">
        <f t="shared" si="211"/>
        <v>28</v>
      </c>
      <c r="BG272" s="1">
        <f t="shared" si="203"/>
        <v>28</v>
      </c>
      <c r="BH272" s="1">
        <f t="shared" si="204"/>
        <v>1</v>
      </c>
      <c r="BI272" s="1" t="e">
        <f>IF(BH272-#REF!=0,"DOĞRU","YANLIŞ")</f>
        <v>#REF!</v>
      </c>
      <c r="BJ272" s="1" t="e">
        <f>#REF!-BH272</f>
        <v>#REF!</v>
      </c>
      <c r="BK272" s="1">
        <v>0</v>
      </c>
      <c r="BM272" s="1">
        <v>0</v>
      </c>
      <c r="BT272" s="8">
        <f t="shared" si="212"/>
        <v>0</v>
      </c>
      <c r="BU272" s="9"/>
      <c r="BV272" s="10"/>
      <c r="BW272" s="11"/>
      <c r="BX272" s="11"/>
      <c r="BY272" s="11"/>
      <c r="BZ272" s="11"/>
      <c r="CA272" s="11"/>
      <c r="CB272" s="12"/>
      <c r="CC272" s="13"/>
      <c r="CD272" s="14"/>
      <c r="CL272" s="11"/>
      <c r="CM272" s="11"/>
      <c r="CN272" s="11"/>
      <c r="CO272" s="11"/>
      <c r="CP272" s="11"/>
      <c r="CQ272" s="49"/>
      <c r="CR272" s="46"/>
      <c r="CS272" s="48"/>
      <c r="CT272" s="48"/>
      <c r="CU272" s="48"/>
      <c r="CV272" s="48"/>
      <c r="CW272" s="49"/>
      <c r="CX272" s="49"/>
    </row>
    <row r="273" spans="1:102" hidden="1" x14ac:dyDescent="0.25">
      <c r="A273" s="1" t="s">
        <v>129</v>
      </c>
      <c r="B273" s="1" t="s">
        <v>130</v>
      </c>
      <c r="C273" s="1" t="s">
        <v>130</v>
      </c>
      <c r="D273" s="2" t="s">
        <v>63</v>
      </c>
      <c r="E273" s="2" t="s">
        <v>63</v>
      </c>
      <c r="F273" s="3" t="e">
        <f>IF(BE273="S",
IF(#REF!+BM273=2018,
IF(#REF!=1,"18-19/1",
IF(#REF!=2,"18-19/2",
IF(#REF!=3,"19-20/1",
IF(#REF!=4,"19-20/2",
IF(#REF!=5,"20-21/1",
IF(#REF!=6,"20-21/2",
IF(#REF!=7,"21-22/1",
IF(#REF!=8,"21-22/2","Hata1")))))))),
IF(#REF!+BM273=2019,
IF(#REF!=1,"19-20/1",
IF(#REF!=2,"19-20/2",
IF(#REF!=3,"20-21/1",
IF(#REF!=4,"20-21/2",
IF(#REF!=5,"21-22/1",
IF(#REF!=6,"21-22/2",
IF(#REF!=7,"22-23/1",
IF(#REF!=8,"22-23/2","Hata2")))))))),
IF(#REF!+BM273=2020,
IF(#REF!=1,"20-21/1",
IF(#REF!=2,"20-21/2",
IF(#REF!=3,"21-22/1",
IF(#REF!=4,"21-22/2",
IF(#REF!=5,"22-23/1",
IF(#REF!=6,"22-23/2",
IF(#REF!=7,"23-24/1",
IF(#REF!=8,"23-24/2","Hata3")))))))),
IF(#REF!+BM273=2021,
IF(#REF!=1,"21-22/1",
IF(#REF!=2,"21-22/2",
IF(#REF!=3,"22-23/1",
IF(#REF!=4,"22-23/2",
IF(#REF!=5,"23-24/1",
IF(#REF!=6,"23-24/2",
IF(#REF!=7,"24-25/1",
IF(#REF!=8,"24-25/2","Hata4")))))))),
IF(#REF!+BM273=2022,
IF(#REF!=1,"22-23/1",
IF(#REF!=2,"22-23/2",
IF(#REF!=3,"23-24/1",
IF(#REF!=4,"23-24/2",
IF(#REF!=5,"24-25/1",
IF(#REF!=6,"24-25/2",
IF(#REF!=7,"25-26/1",
IF(#REF!=8,"25-26/2","Hata5")))))))),
IF(#REF!+BM273=2023,
IF(#REF!=1,"23-24/1",
IF(#REF!=2,"23-24/2",
IF(#REF!=3,"24-25/1",
IF(#REF!=4,"24-25/2",
IF(#REF!=5,"25-26/1",
IF(#REF!=6,"25-26/2",
IF(#REF!=7,"26-27/1",
IF(#REF!=8,"26-27/2","Hata6")))))))),
)))))),
IF(BE273="T",
IF(#REF!+BM273=2018,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3" s="1" t="s">
        <v>158</v>
      </c>
      <c r="J273" s="1">
        <v>4234780</v>
      </c>
      <c r="L273" s="2">
        <v>3397</v>
      </c>
      <c r="N273" s="2">
        <v>4</v>
      </c>
      <c r="O273" s="6">
        <f t="shared" si="188"/>
        <v>3</v>
      </c>
      <c r="P273" s="2">
        <f t="shared" si="189"/>
        <v>3</v>
      </c>
      <c r="Q273" s="2">
        <v>0</v>
      </c>
      <c r="R273" s="2">
        <v>0</v>
      </c>
      <c r="S273" s="2">
        <v>3</v>
      </c>
      <c r="X273" s="3">
        <v>2</v>
      </c>
      <c r="Y273" s="1">
        <f>VLOOKUP($X273,[32]ölçme_sistemleri!I:L,2,FALSE)</f>
        <v>0</v>
      </c>
      <c r="Z273" s="1">
        <f>VLOOKUP($X273,[32]ölçme_sistemleri!I:L,3,FALSE)</f>
        <v>2</v>
      </c>
      <c r="AA273" s="1">
        <f>VLOOKUP($X273,[32]ölçme_sistemleri!I:L,4,FALSE)</f>
        <v>1</v>
      </c>
      <c r="AB273" s="1">
        <f>$O273*[32]ölçme_sistemleri!J$13</f>
        <v>3</v>
      </c>
      <c r="AC273" s="1">
        <f>$O273*[32]ölçme_sistemleri!K$13</f>
        <v>6</v>
      </c>
      <c r="AD273" s="1">
        <f>$O273*[32]ölçme_sistemleri!L$13</f>
        <v>9</v>
      </c>
      <c r="AE273" s="1">
        <f t="shared" si="190"/>
        <v>0</v>
      </c>
      <c r="AF273" s="1">
        <f t="shared" si="191"/>
        <v>12</v>
      </c>
      <c r="AG273" s="1">
        <f t="shared" si="192"/>
        <v>9</v>
      </c>
      <c r="AH273" s="1">
        <f t="shared" si="193"/>
        <v>21</v>
      </c>
      <c r="AI273" s="1">
        <v>14</v>
      </c>
      <c r="AJ273" s="1">
        <f>VLOOKUP(X273,[32]ölçme_sistemleri!I:M,5,FALSE)</f>
        <v>2</v>
      </c>
      <c r="AK273" s="1">
        <f t="shared" si="194"/>
        <v>294</v>
      </c>
      <c r="AL273" s="1">
        <f t="shared" ref="AL273:AL281" si="213">(Q273+S273)*AI273</f>
        <v>42</v>
      </c>
      <c r="AM273" s="1">
        <f>VLOOKUP(X273,[32]ölçme_sistemleri!I:N,6,FALSE)</f>
        <v>3</v>
      </c>
      <c r="AN273" s="1">
        <v>2</v>
      </c>
      <c r="AO273" s="1">
        <f t="shared" si="195"/>
        <v>6</v>
      </c>
      <c r="AP273" s="1">
        <v>14</v>
      </c>
      <c r="AQ273" s="1">
        <f t="shared" si="205"/>
        <v>42</v>
      </c>
      <c r="AR273" s="1">
        <f t="shared" si="196"/>
        <v>111</v>
      </c>
      <c r="AS273" s="1">
        <f>IF(BE273="s",25,25)</f>
        <v>25</v>
      </c>
      <c r="AT273" s="1">
        <f t="shared" si="197"/>
        <v>4</v>
      </c>
      <c r="AU273" s="1">
        <f t="shared" si="206"/>
        <v>0</v>
      </c>
      <c r="AV273" s="1">
        <f t="shared" si="207"/>
        <v>0</v>
      </c>
      <c r="AW273" s="1">
        <f t="shared" si="208"/>
        <v>0</v>
      </c>
      <c r="AX273" s="1">
        <f t="shared" si="209"/>
        <v>0</v>
      </c>
      <c r="AY273" s="1">
        <f t="shared" si="198"/>
        <v>-21</v>
      </c>
      <c r="AZ273" s="1">
        <f t="shared" si="210"/>
        <v>0</v>
      </c>
      <c r="BA273" s="1">
        <f t="shared" si="199"/>
        <v>-42</v>
      </c>
      <c r="BB273" s="1">
        <f t="shared" si="200"/>
        <v>0</v>
      </c>
      <c r="BC273" s="1">
        <f t="shared" si="201"/>
        <v>-6</v>
      </c>
      <c r="BD273" s="1">
        <f t="shared" si="202"/>
        <v>0</v>
      </c>
      <c r="BE273" s="1" t="s">
        <v>65</v>
      </c>
      <c r="BF273" s="1">
        <f t="shared" si="211"/>
        <v>42</v>
      </c>
      <c r="BG273" s="1">
        <f t="shared" si="203"/>
        <v>42</v>
      </c>
      <c r="BH273" s="1">
        <f t="shared" si="204"/>
        <v>1</v>
      </c>
      <c r="BI273" s="1" t="e">
        <f>IF(BH273-#REF!=0,"DOĞRU","YANLIŞ")</f>
        <v>#REF!</v>
      </c>
      <c r="BJ273" s="1" t="e">
        <f>#REF!-BH273</f>
        <v>#REF!</v>
      </c>
      <c r="BK273" s="1">
        <v>0</v>
      </c>
      <c r="BM273" s="1">
        <v>0</v>
      </c>
      <c r="BT273" s="8">
        <f t="shared" si="212"/>
        <v>0</v>
      </c>
      <c r="BU273" s="9"/>
      <c r="BV273" s="10"/>
      <c r="BW273" s="11"/>
      <c r="BX273" s="11"/>
      <c r="BY273" s="11"/>
      <c r="BZ273" s="11"/>
      <c r="CA273" s="11"/>
      <c r="CB273" s="12"/>
      <c r="CC273" s="13"/>
      <c r="CD273" s="14"/>
      <c r="CL273" s="11"/>
      <c r="CM273" s="11"/>
      <c r="CN273" s="11"/>
      <c r="CO273" s="11"/>
      <c r="CP273" s="11"/>
      <c r="CQ273" s="49"/>
      <c r="CR273" s="46"/>
      <c r="CS273" s="48"/>
      <c r="CT273" s="48"/>
      <c r="CU273" s="48"/>
      <c r="CV273" s="48"/>
      <c r="CW273" s="49"/>
      <c r="CX273" s="49"/>
    </row>
    <row r="274" spans="1:102" hidden="1" x14ac:dyDescent="0.25">
      <c r="A274" s="1" t="s">
        <v>258</v>
      </c>
      <c r="B274" s="1" t="s">
        <v>259</v>
      </c>
      <c r="C274" s="1" t="s">
        <v>259</v>
      </c>
      <c r="D274" s="2" t="s">
        <v>58</v>
      </c>
      <c r="E274" s="2" t="s">
        <v>58</v>
      </c>
      <c r="F274" s="3" t="e">
        <f>IF(BE274="S",
IF(#REF!+BM274=2018,
IF(#REF!=1,"18-19/1",
IF(#REF!=2,"18-19/2",
IF(#REF!=3,"19-20/1",
IF(#REF!=4,"19-20/2",
IF(#REF!=5,"20-21/1",
IF(#REF!=6,"20-21/2",
IF(#REF!=7,"21-22/1",
IF(#REF!=8,"21-22/2","Hata1")))))))),
IF(#REF!+BM274=2019,
IF(#REF!=1,"19-20/1",
IF(#REF!=2,"19-20/2",
IF(#REF!=3,"20-21/1",
IF(#REF!=4,"20-21/2",
IF(#REF!=5,"21-22/1",
IF(#REF!=6,"21-22/2",
IF(#REF!=7,"22-23/1",
IF(#REF!=8,"22-23/2","Hata2")))))))),
IF(#REF!+BM274=2020,
IF(#REF!=1,"20-21/1",
IF(#REF!=2,"20-21/2",
IF(#REF!=3,"21-22/1",
IF(#REF!=4,"21-22/2",
IF(#REF!=5,"22-23/1",
IF(#REF!=6,"22-23/2",
IF(#REF!=7,"23-24/1",
IF(#REF!=8,"23-24/2","Hata3")))))))),
IF(#REF!+BM274=2021,
IF(#REF!=1,"21-22/1",
IF(#REF!=2,"21-22/2",
IF(#REF!=3,"22-23/1",
IF(#REF!=4,"22-23/2",
IF(#REF!=5,"23-24/1",
IF(#REF!=6,"23-24/2",
IF(#REF!=7,"24-25/1",
IF(#REF!=8,"24-25/2","Hata4")))))))),
IF(#REF!+BM274=2022,
IF(#REF!=1,"22-23/1",
IF(#REF!=2,"22-23/2",
IF(#REF!=3,"23-24/1",
IF(#REF!=4,"23-24/2",
IF(#REF!=5,"24-25/1",
IF(#REF!=6,"24-25/2",
IF(#REF!=7,"25-26/1",
IF(#REF!=8,"25-26/2","Hata5")))))))),
IF(#REF!+BM274=2023,
IF(#REF!=1,"23-24/1",
IF(#REF!=2,"23-24/2",
IF(#REF!=3,"24-25/1",
IF(#REF!=4,"24-25/2",
IF(#REF!=5,"25-26/1",
IF(#REF!=6,"25-26/2",
IF(#REF!=7,"26-27/1",
IF(#REF!=8,"26-27/2","Hata6")))))))),
)))))),
IF(BE274="T",
IF(#REF!+BM274=2018,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4" s="1" t="s">
        <v>158</v>
      </c>
      <c r="J274" s="1">
        <v>4234780</v>
      </c>
      <c r="L274" s="2">
        <v>2829</v>
      </c>
      <c r="N274" s="2">
        <v>4</v>
      </c>
      <c r="O274" s="6">
        <f t="shared" si="188"/>
        <v>3</v>
      </c>
      <c r="P274" s="2">
        <f t="shared" si="189"/>
        <v>3</v>
      </c>
      <c r="Q274" s="2">
        <v>3</v>
      </c>
      <c r="R274" s="2">
        <v>0</v>
      </c>
      <c r="S274" s="2">
        <v>0</v>
      </c>
      <c r="X274" s="3">
        <v>2</v>
      </c>
      <c r="Y274" s="1">
        <f>VLOOKUP($X274,[33]ölçme_sistemleri!I:L,2,FALSE)</f>
        <v>0</v>
      </c>
      <c r="Z274" s="1">
        <f>VLOOKUP($X274,[33]ölçme_sistemleri!I:L,3,FALSE)</f>
        <v>2</v>
      </c>
      <c r="AA274" s="1">
        <f>VLOOKUP($X274,[33]ölçme_sistemleri!I:L,4,FALSE)</f>
        <v>1</v>
      </c>
      <c r="AB274" s="1">
        <f>$O274*[33]ölçme_sistemleri!J$13</f>
        <v>3</v>
      </c>
      <c r="AC274" s="1">
        <f>$O274*[33]ölçme_sistemleri!K$13</f>
        <v>6</v>
      </c>
      <c r="AD274" s="1">
        <f>$O274*[33]ölçme_sistemleri!L$13</f>
        <v>9</v>
      </c>
      <c r="AE274" s="1">
        <f t="shared" si="190"/>
        <v>0</v>
      </c>
      <c r="AF274" s="1">
        <f t="shared" si="191"/>
        <v>12</v>
      </c>
      <c r="AG274" s="1">
        <f t="shared" si="192"/>
        <v>9</v>
      </c>
      <c r="AH274" s="1">
        <f t="shared" si="193"/>
        <v>21</v>
      </c>
      <c r="AI274" s="1">
        <v>14</v>
      </c>
      <c r="AJ274" s="1">
        <f>VLOOKUP(X274,[33]ölçme_sistemleri!I:M,5,FALSE)</f>
        <v>2</v>
      </c>
      <c r="AK274" s="1">
        <f t="shared" si="194"/>
        <v>294</v>
      </c>
      <c r="AL274" s="1">
        <f t="shared" si="213"/>
        <v>42</v>
      </c>
      <c r="AM274" s="1">
        <f>VLOOKUP(X274,[33]ölçme_sistemleri!I:N,6,FALSE)</f>
        <v>3</v>
      </c>
      <c r="AN274" s="1">
        <v>2</v>
      </c>
      <c r="AO274" s="1">
        <f t="shared" si="195"/>
        <v>6</v>
      </c>
      <c r="AP274" s="1">
        <v>14</v>
      </c>
      <c r="AQ274" s="1">
        <f t="shared" si="205"/>
        <v>42</v>
      </c>
      <c r="AR274" s="1">
        <f t="shared" si="196"/>
        <v>111</v>
      </c>
      <c r="AS274" s="1">
        <f>IF(BE274="s",25,25)</f>
        <v>25</v>
      </c>
      <c r="AT274" s="1">
        <f t="shared" si="197"/>
        <v>4</v>
      </c>
      <c r="AU274" s="1">
        <f t="shared" si="206"/>
        <v>0</v>
      </c>
      <c r="AV274" s="1">
        <f t="shared" si="207"/>
        <v>0</v>
      </c>
      <c r="AW274" s="1">
        <f t="shared" si="208"/>
        <v>0</v>
      </c>
      <c r="AX274" s="1">
        <f t="shared" si="209"/>
        <v>0</v>
      </c>
      <c r="AY274" s="1">
        <f t="shared" si="198"/>
        <v>-21</v>
      </c>
      <c r="AZ274" s="1">
        <f t="shared" si="210"/>
        <v>0</v>
      </c>
      <c r="BA274" s="1">
        <f t="shared" si="199"/>
        <v>-42</v>
      </c>
      <c r="BB274" s="1">
        <f t="shared" si="200"/>
        <v>0</v>
      </c>
      <c r="BC274" s="1">
        <f t="shared" si="201"/>
        <v>-6</v>
      </c>
      <c r="BD274" s="1">
        <f t="shared" si="202"/>
        <v>0</v>
      </c>
      <c r="BE274" s="1" t="s">
        <v>65</v>
      </c>
      <c r="BF274" s="1">
        <f t="shared" si="211"/>
        <v>42</v>
      </c>
      <c r="BG274" s="1">
        <f t="shared" si="203"/>
        <v>42</v>
      </c>
      <c r="BH274" s="1">
        <f t="shared" si="204"/>
        <v>1</v>
      </c>
      <c r="BI274" s="1" t="e">
        <f>IF(BH274-#REF!=0,"DOĞRU","YANLIŞ")</f>
        <v>#REF!</v>
      </c>
      <c r="BJ274" s="1" t="e">
        <f>#REF!-BH274</f>
        <v>#REF!</v>
      </c>
      <c r="BK274" s="1">
        <v>1</v>
      </c>
      <c r="BM274" s="1">
        <v>0</v>
      </c>
      <c r="BO274" s="1">
        <v>2</v>
      </c>
      <c r="BT274" s="8">
        <f t="shared" si="212"/>
        <v>0</v>
      </c>
      <c r="BU274" s="9"/>
      <c r="BV274" s="10"/>
      <c r="BW274" s="11"/>
      <c r="BX274" s="11"/>
      <c r="BY274" s="11"/>
      <c r="BZ274" s="11"/>
      <c r="CA274" s="11"/>
      <c r="CB274" s="12"/>
      <c r="CC274" s="13"/>
      <c r="CD274" s="14"/>
      <c r="CL274" s="11"/>
      <c r="CM274" s="11"/>
      <c r="CN274" s="11"/>
      <c r="CO274" s="11"/>
      <c r="CP274" s="11"/>
      <c r="CQ274" s="49"/>
      <c r="CR274" s="46"/>
      <c r="CS274" s="49"/>
      <c r="CT274" s="48"/>
      <c r="CU274" s="49"/>
      <c r="CV274" s="48"/>
      <c r="CW274" s="49"/>
      <c r="CX274" s="49"/>
    </row>
    <row r="275" spans="1:102" hidden="1" x14ac:dyDescent="0.25">
      <c r="A275" s="1" t="s">
        <v>283</v>
      </c>
      <c r="B275" s="1" t="s">
        <v>284</v>
      </c>
      <c r="C275" s="1" t="s">
        <v>284</v>
      </c>
      <c r="D275" s="2" t="s">
        <v>63</v>
      </c>
      <c r="E275" s="2" t="s">
        <v>63</v>
      </c>
      <c r="F275" s="3" t="e">
        <f>IF(BE275="S",
IF(#REF!+BM275=2018,
IF(#REF!=1,"18-19/1",
IF(#REF!=2,"18-19/2",
IF(#REF!=3,"19-20/1",
IF(#REF!=4,"19-20/2",
IF(#REF!=5,"20-21/1",
IF(#REF!=6,"20-21/2",
IF(#REF!=7,"21-22/1",
IF(#REF!=8,"21-22/2","Hata1")))))))),
IF(#REF!+BM275=2019,
IF(#REF!=1,"19-20/1",
IF(#REF!=2,"19-20/2",
IF(#REF!=3,"20-21/1",
IF(#REF!=4,"20-21/2",
IF(#REF!=5,"21-22/1",
IF(#REF!=6,"21-22/2",
IF(#REF!=7,"22-23/1",
IF(#REF!=8,"22-23/2","Hata2")))))))),
IF(#REF!+BM275=2020,
IF(#REF!=1,"20-21/1",
IF(#REF!=2,"20-21/2",
IF(#REF!=3,"21-22/1",
IF(#REF!=4,"21-22/2",
IF(#REF!=5,"22-23/1",
IF(#REF!=6,"22-23/2",
IF(#REF!=7,"23-24/1",
IF(#REF!=8,"23-24/2","Hata3")))))))),
IF(#REF!+BM275=2021,
IF(#REF!=1,"21-22/1",
IF(#REF!=2,"21-22/2",
IF(#REF!=3,"22-23/1",
IF(#REF!=4,"22-23/2",
IF(#REF!=5,"23-24/1",
IF(#REF!=6,"23-24/2",
IF(#REF!=7,"24-25/1",
IF(#REF!=8,"24-25/2","Hata4")))))))),
IF(#REF!+BM275=2022,
IF(#REF!=1,"22-23/1",
IF(#REF!=2,"22-23/2",
IF(#REF!=3,"23-24/1",
IF(#REF!=4,"23-24/2",
IF(#REF!=5,"24-25/1",
IF(#REF!=6,"24-25/2",
IF(#REF!=7,"25-26/1",
IF(#REF!=8,"25-26/2","Hata5")))))))),
IF(#REF!+BM275=2023,
IF(#REF!=1,"23-24/1",
IF(#REF!=2,"23-24/2",
IF(#REF!=3,"24-25/1",
IF(#REF!=4,"24-25/2",
IF(#REF!=5,"25-26/1",
IF(#REF!=6,"25-26/2",
IF(#REF!=7,"26-27/1",
IF(#REF!=8,"26-27/2","Hata6")))))))),
)))))),
IF(BE275="T",
IF(#REF!+BM275=2018,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5" s="1" t="s">
        <v>158</v>
      </c>
      <c r="J275" s="1">
        <v>4234780</v>
      </c>
      <c r="N275" s="2">
        <v>5</v>
      </c>
      <c r="O275" s="6">
        <f t="shared" si="188"/>
        <v>3</v>
      </c>
      <c r="P275" s="2">
        <f t="shared" si="189"/>
        <v>3</v>
      </c>
      <c r="Q275" s="2">
        <v>0</v>
      </c>
      <c r="R275" s="2">
        <v>0</v>
      </c>
      <c r="S275" s="2">
        <v>3</v>
      </c>
      <c r="X275" s="3">
        <v>3</v>
      </c>
      <c r="Y275" s="1">
        <f>VLOOKUP($X275,[31]ölçme_sistemleri!I:L,2,FALSE)</f>
        <v>2</v>
      </c>
      <c r="Z275" s="1">
        <f>VLOOKUP($X275,[31]ölçme_sistemleri!I:L,3,FALSE)</f>
        <v>1</v>
      </c>
      <c r="AA275" s="1">
        <f>VLOOKUP($X275,[31]ölçme_sistemleri!I:L,4,FALSE)</f>
        <v>1</v>
      </c>
      <c r="AB275" s="1">
        <f>$O275*[31]ölçme_sistemleri!J$13</f>
        <v>3</v>
      </c>
      <c r="AC275" s="1">
        <f>$O275*[31]ölçme_sistemleri!K$13</f>
        <v>6</v>
      </c>
      <c r="AD275" s="1">
        <f>$O275*[31]ölçme_sistemleri!L$13</f>
        <v>9</v>
      </c>
      <c r="AE275" s="1">
        <f t="shared" si="190"/>
        <v>6</v>
      </c>
      <c r="AF275" s="1">
        <f t="shared" si="191"/>
        <v>6</v>
      </c>
      <c r="AG275" s="1">
        <f t="shared" si="192"/>
        <v>9</v>
      </c>
      <c r="AH275" s="1">
        <f t="shared" si="193"/>
        <v>21</v>
      </c>
      <c r="AI275" s="1">
        <v>14</v>
      </c>
      <c r="AJ275" s="1">
        <f>VLOOKUP(X275,[31]ölçme_sistemleri!I:M,5,FALSE)</f>
        <v>3</v>
      </c>
      <c r="AK275" s="1">
        <f t="shared" si="194"/>
        <v>294</v>
      </c>
      <c r="AL275" s="1">
        <f t="shared" si="213"/>
        <v>42</v>
      </c>
      <c r="AM275" s="1">
        <f>VLOOKUP(X275,[31]ölçme_sistemleri!I:N,6,FALSE)</f>
        <v>4</v>
      </c>
      <c r="AN275" s="1">
        <v>2</v>
      </c>
      <c r="AO275" s="1">
        <f t="shared" si="195"/>
        <v>8</v>
      </c>
      <c r="AP275" s="1">
        <v>14</v>
      </c>
      <c r="AQ275" s="1">
        <f t="shared" si="205"/>
        <v>42</v>
      </c>
      <c r="AR275" s="1">
        <f t="shared" si="196"/>
        <v>113</v>
      </c>
      <c r="AS275" s="1">
        <f>IF(BE275="s",25,25)</f>
        <v>25</v>
      </c>
      <c r="AT275" s="1">
        <f t="shared" si="197"/>
        <v>5</v>
      </c>
      <c r="AU275" s="1">
        <f t="shared" si="206"/>
        <v>0</v>
      </c>
      <c r="AV275" s="1">
        <f t="shared" si="207"/>
        <v>0</v>
      </c>
      <c r="AW275" s="1">
        <f t="shared" si="208"/>
        <v>0</v>
      </c>
      <c r="AX275" s="1">
        <f t="shared" si="209"/>
        <v>0</v>
      </c>
      <c r="AY275" s="1">
        <f t="shared" si="198"/>
        <v>-21</v>
      </c>
      <c r="AZ275" s="1">
        <f t="shared" si="210"/>
        <v>0</v>
      </c>
      <c r="BA275" s="1">
        <f t="shared" si="199"/>
        <v>-42</v>
      </c>
      <c r="BB275" s="1">
        <f t="shared" si="200"/>
        <v>0</v>
      </c>
      <c r="BC275" s="1">
        <f t="shared" si="201"/>
        <v>-8</v>
      </c>
      <c r="BD275" s="1">
        <f t="shared" si="202"/>
        <v>0</v>
      </c>
      <c r="BE275" s="1" t="s">
        <v>65</v>
      </c>
      <c r="BF275" s="1">
        <f t="shared" si="211"/>
        <v>42</v>
      </c>
      <c r="BG275" s="1">
        <f t="shared" si="203"/>
        <v>42</v>
      </c>
      <c r="BH275" s="1">
        <f t="shared" si="204"/>
        <v>1</v>
      </c>
      <c r="BI275" s="1" t="e">
        <f>IF(BH275-#REF!=0,"DOĞRU","YANLIŞ")</f>
        <v>#REF!</v>
      </c>
      <c r="BJ275" s="1" t="e">
        <f>#REF!-BH275</f>
        <v>#REF!</v>
      </c>
      <c r="BK275" s="1">
        <v>1</v>
      </c>
      <c r="BM275" s="1">
        <v>0</v>
      </c>
      <c r="BO275" s="1">
        <v>4</v>
      </c>
      <c r="BT275" s="8">
        <f t="shared" si="212"/>
        <v>0</v>
      </c>
      <c r="BU275" s="9"/>
      <c r="BV275" s="10"/>
      <c r="BW275" s="11"/>
      <c r="BX275" s="11"/>
      <c r="BY275" s="11"/>
      <c r="BZ275" s="11"/>
      <c r="CA275" s="11"/>
      <c r="CB275" s="12"/>
      <c r="CC275" s="13"/>
      <c r="CD275" s="14"/>
      <c r="CL275" s="11"/>
      <c r="CM275" s="11"/>
      <c r="CN275" s="11"/>
      <c r="CO275" s="11"/>
      <c r="CP275" s="11"/>
      <c r="CQ275" s="54"/>
      <c r="CR275" s="62"/>
      <c r="CS275" s="49"/>
      <c r="CT275" s="63"/>
      <c r="CU275" s="48"/>
      <c r="CV275" s="48"/>
      <c r="CW275" s="49"/>
      <c r="CX275" s="49"/>
    </row>
    <row r="276" spans="1:102" hidden="1" x14ac:dyDescent="0.25">
      <c r="A276" s="1" t="s">
        <v>277</v>
      </c>
      <c r="B276" s="1" t="s">
        <v>278</v>
      </c>
      <c r="C276" s="1" t="s">
        <v>278</v>
      </c>
      <c r="D276" s="2" t="s">
        <v>63</v>
      </c>
      <c r="E276" s="2" t="s">
        <v>63</v>
      </c>
      <c r="F276" s="3" t="e">
        <f>IF(BE276="S",
IF(#REF!+BM276=2018,
IF(#REF!=1,"18-19/1",
IF(#REF!=2,"18-19/2",
IF(#REF!=3,"19-20/1",
IF(#REF!=4,"19-20/2",
IF(#REF!=5,"20-21/1",
IF(#REF!=6,"20-21/2",
IF(#REF!=7,"21-22/1",
IF(#REF!=8,"21-22/2","Hata1")))))))),
IF(#REF!+BM276=2019,
IF(#REF!=1,"19-20/1",
IF(#REF!=2,"19-20/2",
IF(#REF!=3,"20-21/1",
IF(#REF!=4,"20-21/2",
IF(#REF!=5,"21-22/1",
IF(#REF!=6,"21-22/2",
IF(#REF!=7,"22-23/1",
IF(#REF!=8,"22-23/2","Hata2")))))))),
IF(#REF!+BM276=2020,
IF(#REF!=1,"20-21/1",
IF(#REF!=2,"20-21/2",
IF(#REF!=3,"21-22/1",
IF(#REF!=4,"21-22/2",
IF(#REF!=5,"22-23/1",
IF(#REF!=6,"22-23/2",
IF(#REF!=7,"23-24/1",
IF(#REF!=8,"23-24/2","Hata3")))))))),
IF(#REF!+BM276=2021,
IF(#REF!=1,"21-22/1",
IF(#REF!=2,"21-22/2",
IF(#REF!=3,"22-23/1",
IF(#REF!=4,"22-23/2",
IF(#REF!=5,"23-24/1",
IF(#REF!=6,"23-24/2",
IF(#REF!=7,"24-25/1",
IF(#REF!=8,"24-25/2","Hata4")))))))),
IF(#REF!+BM276=2022,
IF(#REF!=1,"22-23/1",
IF(#REF!=2,"22-23/2",
IF(#REF!=3,"23-24/1",
IF(#REF!=4,"23-24/2",
IF(#REF!=5,"24-25/1",
IF(#REF!=6,"24-25/2",
IF(#REF!=7,"25-26/1",
IF(#REF!=8,"25-26/2","Hata5")))))))),
IF(#REF!+BM276=2023,
IF(#REF!=1,"23-24/1",
IF(#REF!=2,"23-24/2",
IF(#REF!=3,"24-25/1",
IF(#REF!=4,"24-25/2",
IF(#REF!=5,"25-26/1",
IF(#REF!=6,"25-26/2",
IF(#REF!=7,"26-27/1",
IF(#REF!=8,"26-27/2","Hata6")))))))),
)))))),
IF(BE276="T",
IF(#REF!+BM276=2018,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76" s="1" t="s">
        <v>158</v>
      </c>
      <c r="J276" s="1">
        <v>4234788</v>
      </c>
      <c r="N276" s="2">
        <v>5</v>
      </c>
      <c r="O276" s="6">
        <f t="shared" si="188"/>
        <v>3</v>
      </c>
      <c r="P276" s="2">
        <f t="shared" si="189"/>
        <v>3</v>
      </c>
      <c r="Q276" s="2">
        <v>3</v>
      </c>
      <c r="R276" s="2">
        <v>0</v>
      </c>
      <c r="S276" s="2">
        <v>0</v>
      </c>
      <c r="X276" s="3">
        <v>3</v>
      </c>
      <c r="Y276" s="1">
        <f>VLOOKUP($X276,[31]ölçme_sistemleri!I:L,2,FALSE)</f>
        <v>2</v>
      </c>
      <c r="Z276" s="1">
        <f>VLOOKUP($X276,[31]ölçme_sistemleri!I:L,3,FALSE)</f>
        <v>1</v>
      </c>
      <c r="AA276" s="1">
        <f>VLOOKUP($X276,[31]ölçme_sistemleri!I:L,4,FALSE)</f>
        <v>1</v>
      </c>
      <c r="AB276" s="1">
        <f>$O276*[31]ölçme_sistemleri!J$13</f>
        <v>3</v>
      </c>
      <c r="AC276" s="1">
        <f>$O276*[31]ölçme_sistemleri!K$13</f>
        <v>6</v>
      </c>
      <c r="AD276" s="1">
        <f>$O276*[31]ölçme_sistemleri!L$13</f>
        <v>9</v>
      </c>
      <c r="AE276" s="1">
        <f t="shared" si="190"/>
        <v>6</v>
      </c>
      <c r="AF276" s="1">
        <f t="shared" si="191"/>
        <v>6</v>
      </c>
      <c r="AG276" s="1">
        <f t="shared" si="192"/>
        <v>9</v>
      </c>
      <c r="AH276" s="1">
        <f t="shared" si="193"/>
        <v>21</v>
      </c>
      <c r="AI276" s="1">
        <v>14</v>
      </c>
      <c r="AJ276" s="1">
        <f>VLOOKUP(X276,[31]ölçme_sistemleri!I:M,5,FALSE)</f>
        <v>3</v>
      </c>
      <c r="AK276" s="1">
        <f t="shared" si="194"/>
        <v>294</v>
      </c>
      <c r="AL276" s="1">
        <f t="shared" si="213"/>
        <v>42</v>
      </c>
      <c r="AM276" s="1">
        <f>VLOOKUP(X276,[31]ölçme_sistemleri!I:N,6,FALSE)</f>
        <v>4</v>
      </c>
      <c r="AN276" s="1">
        <v>2</v>
      </c>
      <c r="AO276" s="1">
        <f t="shared" si="195"/>
        <v>8</v>
      </c>
      <c r="AP276" s="1">
        <v>14</v>
      </c>
      <c r="AQ276" s="1">
        <f t="shared" si="205"/>
        <v>42</v>
      </c>
      <c r="AR276" s="1">
        <f t="shared" si="196"/>
        <v>113</v>
      </c>
      <c r="AS276" s="1">
        <f>IF(BE276="s",25,25)</f>
        <v>25</v>
      </c>
      <c r="AT276" s="1">
        <f t="shared" si="197"/>
        <v>5</v>
      </c>
      <c r="AU276" s="1">
        <f t="shared" si="206"/>
        <v>0</v>
      </c>
      <c r="AV276" s="1">
        <f t="shared" si="207"/>
        <v>0</v>
      </c>
      <c r="AW276" s="1">
        <f t="shared" si="208"/>
        <v>0</v>
      </c>
      <c r="AX276" s="1">
        <f t="shared" si="209"/>
        <v>0</v>
      </c>
      <c r="AY276" s="1">
        <f t="shared" si="198"/>
        <v>-21</v>
      </c>
      <c r="AZ276" s="1">
        <f t="shared" si="210"/>
        <v>0</v>
      </c>
      <c r="BA276" s="1">
        <f t="shared" si="199"/>
        <v>-42</v>
      </c>
      <c r="BB276" s="1">
        <f t="shared" si="200"/>
        <v>0</v>
      </c>
      <c r="BC276" s="1">
        <f t="shared" si="201"/>
        <v>-8</v>
      </c>
      <c r="BD276" s="1">
        <f t="shared" si="202"/>
        <v>0</v>
      </c>
      <c r="BE276" s="1" t="s">
        <v>65</v>
      </c>
      <c r="BF276" s="1">
        <f t="shared" si="211"/>
        <v>42</v>
      </c>
      <c r="BG276" s="1">
        <f t="shared" si="203"/>
        <v>42</v>
      </c>
      <c r="BH276" s="1">
        <f t="shared" si="204"/>
        <v>1</v>
      </c>
      <c r="BI276" s="1" t="e">
        <f>IF(BH276-#REF!=0,"DOĞRU","YANLIŞ")</f>
        <v>#REF!</v>
      </c>
      <c r="BJ276" s="1" t="e">
        <f>#REF!-BH276</f>
        <v>#REF!</v>
      </c>
      <c r="BK276" s="1">
        <v>1</v>
      </c>
      <c r="BM276" s="1">
        <v>0</v>
      </c>
      <c r="BO276" s="1">
        <v>4</v>
      </c>
      <c r="BT276" s="8">
        <f t="shared" si="212"/>
        <v>0</v>
      </c>
      <c r="BU276" s="9"/>
      <c r="BV276" s="10"/>
      <c r="BW276" s="11"/>
      <c r="BX276" s="11"/>
      <c r="BY276" s="11"/>
      <c r="BZ276" s="11"/>
      <c r="CA276" s="11"/>
      <c r="CB276" s="12"/>
      <c r="CC276" s="13"/>
      <c r="CD276" s="14"/>
      <c r="CL276" s="11"/>
      <c r="CM276" s="11"/>
      <c r="CN276" s="11"/>
      <c r="CO276" s="11"/>
      <c r="CP276" s="11"/>
      <c r="CQ276" s="49"/>
      <c r="CR276" s="46"/>
      <c r="CS276" s="48"/>
      <c r="CT276" s="48"/>
      <c r="CU276" s="48"/>
      <c r="CV276" s="48"/>
      <c r="CW276" s="49"/>
      <c r="CX276" s="49"/>
    </row>
    <row r="277" spans="1:102" hidden="1" x14ac:dyDescent="0.25">
      <c r="A277" s="1" t="s">
        <v>303</v>
      </c>
      <c r="B277" s="1" t="s">
        <v>304</v>
      </c>
      <c r="C277" s="1" t="s">
        <v>304</v>
      </c>
      <c r="D277" s="2" t="s">
        <v>58</v>
      </c>
      <c r="E277" s="2" t="s">
        <v>58</v>
      </c>
      <c r="F277" s="3" t="e">
        <f>IF(BE277="S",
IF(#REF!+BM277=2018,
IF(#REF!=1,"18-19/1",
IF(#REF!=2,"18-19/2",
IF(#REF!=3,"19-20/1",
IF(#REF!=4,"19-20/2",
IF(#REF!=5,"20-21/1",
IF(#REF!=6,"20-21/2",
IF(#REF!=7,"21-22/1",
IF(#REF!=8,"21-22/2","Hata1")))))))),
IF(#REF!+BM277=2019,
IF(#REF!=1,"19-20/1",
IF(#REF!=2,"19-20/2",
IF(#REF!=3,"20-21/1",
IF(#REF!=4,"20-21/2",
IF(#REF!=5,"21-22/1",
IF(#REF!=6,"21-22/2",
IF(#REF!=7,"22-23/1",
IF(#REF!=8,"22-23/2","Hata2")))))))),
IF(#REF!+BM277=2020,
IF(#REF!=1,"20-21/1",
IF(#REF!=2,"20-21/2",
IF(#REF!=3,"21-22/1",
IF(#REF!=4,"21-22/2",
IF(#REF!=5,"22-23/1",
IF(#REF!=6,"22-23/2",
IF(#REF!=7,"23-24/1",
IF(#REF!=8,"23-24/2","Hata3")))))))),
IF(#REF!+BM277=2021,
IF(#REF!=1,"21-22/1",
IF(#REF!=2,"21-22/2",
IF(#REF!=3,"22-23/1",
IF(#REF!=4,"22-23/2",
IF(#REF!=5,"23-24/1",
IF(#REF!=6,"23-24/2",
IF(#REF!=7,"24-25/1",
IF(#REF!=8,"24-25/2","Hata4")))))))),
IF(#REF!+BM277=2022,
IF(#REF!=1,"22-23/1",
IF(#REF!=2,"22-23/2",
IF(#REF!=3,"23-24/1",
IF(#REF!=4,"23-24/2",
IF(#REF!=5,"24-25/1",
IF(#REF!=6,"24-25/2",
IF(#REF!=7,"25-26/1",
IF(#REF!=8,"25-26/2","Hata5")))))))),
IF(#REF!+BM277=2023,
IF(#REF!=1,"23-24/1",
IF(#REF!=2,"23-24/2",
IF(#REF!=3,"24-25/1",
IF(#REF!=4,"24-25/2",
IF(#REF!=5,"25-26/1",
IF(#REF!=6,"25-26/2",
IF(#REF!=7,"26-27/1",
IF(#REF!=8,"26-27/2","Hata6")))))))),
)))))),
IF(BE277="T",
IF(#REF!+BM277=2018,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277" s="3">
        <v>0</v>
      </c>
      <c r="I277" s="1" t="s">
        <v>179</v>
      </c>
      <c r="L277" s="2">
        <v>3230</v>
      </c>
      <c r="N277" s="2">
        <v>5</v>
      </c>
      <c r="O277" s="6">
        <f t="shared" si="188"/>
        <v>3</v>
      </c>
      <c r="P277" s="2">
        <f t="shared" si="189"/>
        <v>3</v>
      </c>
      <c r="Q277" s="2">
        <v>0</v>
      </c>
      <c r="R277" s="2">
        <v>0</v>
      </c>
      <c r="S277" s="2">
        <v>3</v>
      </c>
      <c r="X277" s="3">
        <v>3</v>
      </c>
      <c r="Y277" s="1">
        <f>VLOOKUP(X277,[36]ölçme_sistemleri!I:L,2,FALSE)</f>
        <v>2</v>
      </c>
      <c r="Z277" s="1">
        <f>VLOOKUP(X277,[36]ölçme_sistemleri!I:L,3,FALSE)</f>
        <v>1</v>
      </c>
      <c r="AA277" s="1">
        <f>VLOOKUP(X277,[36]ölçme_sistemleri!I:L,4,FALSE)</f>
        <v>1</v>
      </c>
      <c r="AB277" s="1">
        <f>$O277*[36]ölçme_sistemleri!$J$13</f>
        <v>3</v>
      </c>
      <c r="AC277" s="1">
        <f>$O277*[36]ölçme_sistemleri!$K$13</f>
        <v>6</v>
      </c>
      <c r="AD277" s="1">
        <f>$O277*[36]ölçme_sistemleri!$L$13</f>
        <v>9</v>
      </c>
      <c r="AE277" s="1">
        <f t="shared" si="190"/>
        <v>6</v>
      </c>
      <c r="AF277" s="1">
        <f t="shared" si="191"/>
        <v>6</v>
      </c>
      <c r="AG277" s="1">
        <f t="shared" si="192"/>
        <v>9</v>
      </c>
      <c r="AH277" s="1">
        <f t="shared" si="193"/>
        <v>21</v>
      </c>
      <c r="AI277" s="1">
        <v>14</v>
      </c>
      <c r="AJ277" s="1">
        <f>VLOOKUP(X277,[36]ölçme_sistemleri!I:M,5,FALSE)</f>
        <v>3</v>
      </c>
      <c r="AK277" s="1">
        <f t="shared" si="194"/>
        <v>294</v>
      </c>
      <c r="AL277" s="1">
        <f t="shared" si="213"/>
        <v>42</v>
      </c>
      <c r="AM277" s="1">
        <f>VLOOKUP(X277,[36]ölçme_sistemleri!I:N,6,FALSE)</f>
        <v>4</v>
      </c>
      <c r="AN277" s="1">
        <v>2</v>
      </c>
      <c r="AO277" s="1">
        <f t="shared" si="195"/>
        <v>8</v>
      </c>
      <c r="AP277" s="1">
        <v>14</v>
      </c>
      <c r="AQ277" s="1">
        <f t="shared" si="205"/>
        <v>42</v>
      </c>
      <c r="AR277" s="1">
        <f t="shared" si="196"/>
        <v>113</v>
      </c>
      <c r="AS277" s="1">
        <f>IF(BE277="s",25,30)</f>
        <v>25</v>
      </c>
      <c r="AT277" s="1">
        <f t="shared" si="197"/>
        <v>5</v>
      </c>
      <c r="AU277" s="1">
        <f t="shared" si="206"/>
        <v>0</v>
      </c>
      <c r="AV277" s="1">
        <f t="shared" si="207"/>
        <v>0</v>
      </c>
      <c r="AW277" s="1">
        <f t="shared" si="208"/>
        <v>0</v>
      </c>
      <c r="AX277" s="1">
        <f t="shared" si="209"/>
        <v>0</v>
      </c>
      <c r="AY277" s="1">
        <f t="shared" si="198"/>
        <v>-21</v>
      </c>
      <c r="AZ277" s="1">
        <f t="shared" si="210"/>
        <v>0</v>
      </c>
      <c r="BA277" s="1">
        <f t="shared" si="199"/>
        <v>-42</v>
      </c>
      <c r="BB277" s="1">
        <f t="shared" si="200"/>
        <v>0</v>
      </c>
      <c r="BC277" s="1">
        <f t="shared" si="201"/>
        <v>-8</v>
      </c>
      <c r="BD277" s="1">
        <f t="shared" si="202"/>
        <v>0</v>
      </c>
      <c r="BE277" s="1" t="s">
        <v>65</v>
      </c>
      <c r="BF277" s="1">
        <f t="shared" si="211"/>
        <v>42</v>
      </c>
      <c r="BG277" s="1">
        <f t="shared" si="203"/>
        <v>42</v>
      </c>
      <c r="BH277" s="1">
        <f t="shared" si="204"/>
        <v>1</v>
      </c>
      <c r="BI277" s="1" t="e">
        <f>IF(BH277-#REF!=0,"DOĞRU","YANLIŞ")</f>
        <v>#REF!</v>
      </c>
      <c r="BJ277" s="1" t="e">
        <f>#REF!-BH277</f>
        <v>#REF!</v>
      </c>
      <c r="BK277" s="1">
        <v>1</v>
      </c>
      <c r="BM277" s="1">
        <v>0</v>
      </c>
      <c r="BT277" s="8">
        <f t="shared" si="212"/>
        <v>0</v>
      </c>
      <c r="BU277" s="9"/>
      <c r="BV277" s="10"/>
      <c r="BW277" s="11"/>
      <c r="BX277" s="11"/>
      <c r="BY277" s="11"/>
      <c r="BZ277" s="11"/>
      <c r="CA277" s="11"/>
      <c r="CB277" s="12"/>
      <c r="CC277" s="13"/>
      <c r="CD277" s="14"/>
      <c r="CL277" s="11"/>
      <c r="CM277" s="11"/>
      <c r="CN277" s="11"/>
      <c r="CO277" s="11"/>
      <c r="CP277" s="11"/>
      <c r="CQ277" s="46"/>
      <c r="CR277" s="46"/>
      <c r="CS277" s="48"/>
      <c r="CT277" s="48"/>
      <c r="CU277" s="48"/>
      <c r="CV277" s="48"/>
      <c r="CW277" s="49"/>
      <c r="CX277" s="49"/>
    </row>
    <row r="278" spans="1:102" hidden="1" x14ac:dyDescent="0.25">
      <c r="A278" s="1" t="s">
        <v>97</v>
      </c>
      <c r="B278" s="1" t="s">
        <v>98</v>
      </c>
      <c r="C278" s="1" t="s">
        <v>98</v>
      </c>
      <c r="D278" s="2" t="s">
        <v>63</v>
      </c>
      <c r="E278" s="2" t="s">
        <v>63</v>
      </c>
      <c r="F278" s="3" t="e">
        <f>IF(BE278="S",
IF(#REF!+BM278=2018,
IF(#REF!=1,"18-19/1",
IF(#REF!=2,"18-19/2",
IF(#REF!=3,"19-20/1",
IF(#REF!=4,"19-20/2",
IF(#REF!=5,"20-21/1",
IF(#REF!=6,"20-21/2",
IF(#REF!=7,"21-22/1",
IF(#REF!=8,"21-22/2","Hata1")))))))),
IF(#REF!+BM278=2019,
IF(#REF!=1,"19-20/1",
IF(#REF!=2,"19-20/2",
IF(#REF!=3,"20-21/1",
IF(#REF!=4,"20-21/2",
IF(#REF!=5,"21-22/1",
IF(#REF!=6,"21-22/2",
IF(#REF!=7,"22-23/1",
IF(#REF!=8,"22-23/2","Hata2")))))))),
IF(#REF!+BM278=2020,
IF(#REF!=1,"20-21/1",
IF(#REF!=2,"20-21/2",
IF(#REF!=3,"21-22/1",
IF(#REF!=4,"21-22/2",
IF(#REF!=5,"22-23/1",
IF(#REF!=6,"22-23/2",
IF(#REF!=7,"23-24/1",
IF(#REF!=8,"23-24/2","Hata3")))))))),
IF(#REF!+BM278=2021,
IF(#REF!=1,"21-22/1",
IF(#REF!=2,"21-22/2",
IF(#REF!=3,"22-23/1",
IF(#REF!=4,"22-23/2",
IF(#REF!=5,"23-24/1",
IF(#REF!=6,"23-24/2",
IF(#REF!=7,"24-25/1",
IF(#REF!=8,"24-25/2","Hata4")))))))),
IF(#REF!+BM278=2022,
IF(#REF!=1,"22-23/1",
IF(#REF!=2,"22-23/2",
IF(#REF!=3,"23-24/1",
IF(#REF!=4,"23-24/2",
IF(#REF!=5,"24-25/1",
IF(#REF!=6,"24-25/2",
IF(#REF!=7,"25-26/1",
IF(#REF!=8,"25-26/2","Hata5")))))))),
IF(#REF!+BM278=2023,
IF(#REF!=1,"23-24/1",
IF(#REF!=2,"23-24/2",
IF(#REF!=3,"24-25/1",
IF(#REF!=4,"24-25/2",
IF(#REF!=5,"25-26/1",
IF(#REF!=6,"25-26/2",
IF(#REF!=7,"26-27/1",
IF(#REF!=8,"26-27/2","Hata6")))))))),
)))))),
IF(BE278="T",
IF(#REF!+BM278=2018,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H278" s="3">
        <v>33</v>
      </c>
      <c r="I278" s="7" t="s">
        <v>179</v>
      </c>
      <c r="L278" s="2">
        <v>196</v>
      </c>
      <c r="N278" s="2">
        <v>4</v>
      </c>
      <c r="O278" s="6">
        <f t="shared" si="188"/>
        <v>3</v>
      </c>
      <c r="P278" s="2">
        <f t="shared" si="189"/>
        <v>3</v>
      </c>
      <c r="Q278" s="2">
        <v>3</v>
      </c>
      <c r="R278" s="2">
        <v>0</v>
      </c>
      <c r="S278" s="2">
        <v>0</v>
      </c>
      <c r="X278" s="3">
        <v>2</v>
      </c>
      <c r="Y278" s="1">
        <f>VLOOKUP(X278,[37]ölçme_sistemleri!I:L,2,FALSE)</f>
        <v>0</v>
      </c>
      <c r="Z278" s="1">
        <f>VLOOKUP(X278,[37]ölçme_sistemleri!I:L,3,FALSE)</f>
        <v>2</v>
      </c>
      <c r="AA278" s="1">
        <f>VLOOKUP(X278,[37]ölçme_sistemleri!I:L,4,FALSE)</f>
        <v>1</v>
      </c>
      <c r="AB278" s="1">
        <f>$O278*[37]ölçme_sistemleri!$J$13</f>
        <v>3</v>
      </c>
      <c r="AC278" s="1">
        <f>$O278*[37]ölçme_sistemleri!$K$13</f>
        <v>6</v>
      </c>
      <c r="AD278" s="1">
        <f>$O278*[37]ölçme_sistemleri!$L$13</f>
        <v>9</v>
      </c>
      <c r="AE278" s="1">
        <f t="shared" si="190"/>
        <v>0</v>
      </c>
      <c r="AF278" s="1">
        <f t="shared" si="191"/>
        <v>12</v>
      </c>
      <c r="AG278" s="1">
        <f t="shared" si="192"/>
        <v>9</v>
      </c>
      <c r="AH278" s="1">
        <f t="shared" si="193"/>
        <v>21</v>
      </c>
      <c r="AI278" s="1">
        <v>14</v>
      </c>
      <c r="AJ278" s="1">
        <f>VLOOKUP(X278,[37]ölçme_sistemleri!I:M,5,FALSE)</f>
        <v>2</v>
      </c>
      <c r="AK278" s="1">
        <f t="shared" si="194"/>
        <v>294</v>
      </c>
      <c r="AL278" s="1">
        <f t="shared" si="213"/>
        <v>42</v>
      </c>
      <c r="AM278" s="1">
        <f>VLOOKUP(X278,[37]ölçme_sistemleri!I:N,6,FALSE)</f>
        <v>3</v>
      </c>
      <c r="AN278" s="1">
        <v>2</v>
      </c>
      <c r="AO278" s="1">
        <f t="shared" si="195"/>
        <v>6</v>
      </c>
      <c r="AP278" s="1">
        <v>14</v>
      </c>
      <c r="AQ278" s="1">
        <f t="shared" si="205"/>
        <v>42</v>
      </c>
      <c r="AR278" s="1">
        <f t="shared" si="196"/>
        <v>111</v>
      </c>
      <c r="AS278" s="1">
        <f>IF(BE278="s",25,30)</f>
        <v>25</v>
      </c>
      <c r="AT278" s="1">
        <f t="shared" si="197"/>
        <v>4</v>
      </c>
      <c r="AU278" s="1">
        <f t="shared" si="206"/>
        <v>0</v>
      </c>
      <c r="AV278" s="1">
        <f t="shared" si="207"/>
        <v>0</v>
      </c>
      <c r="AW278" s="1">
        <f t="shared" si="208"/>
        <v>0</v>
      </c>
      <c r="AX278" s="1">
        <f t="shared" si="209"/>
        <v>0</v>
      </c>
      <c r="AY278" s="1">
        <f t="shared" si="198"/>
        <v>-21</v>
      </c>
      <c r="AZ278" s="1">
        <f t="shared" si="210"/>
        <v>0</v>
      </c>
      <c r="BA278" s="1">
        <f t="shared" si="199"/>
        <v>-42</v>
      </c>
      <c r="BB278" s="1">
        <f t="shared" si="200"/>
        <v>0</v>
      </c>
      <c r="BC278" s="1">
        <f t="shared" si="201"/>
        <v>-6</v>
      </c>
      <c r="BD278" s="1">
        <f t="shared" si="202"/>
        <v>0</v>
      </c>
      <c r="BE278" s="1" t="s">
        <v>65</v>
      </c>
      <c r="BF278" s="1">
        <f t="shared" si="211"/>
        <v>42</v>
      </c>
      <c r="BG278" s="1">
        <f t="shared" si="203"/>
        <v>42</v>
      </c>
      <c r="BH278" s="1">
        <f t="shared" si="204"/>
        <v>1</v>
      </c>
      <c r="BI278" s="1" t="e">
        <f>IF(BH278-#REF!=0,"DOĞRU","YANLIŞ")</f>
        <v>#REF!</v>
      </c>
      <c r="BJ278" s="1" t="e">
        <f>#REF!-BH278</f>
        <v>#REF!</v>
      </c>
      <c r="BK278" s="1">
        <v>0</v>
      </c>
      <c r="BM278" s="1">
        <v>0</v>
      </c>
      <c r="BT278" s="8">
        <f t="shared" si="212"/>
        <v>0</v>
      </c>
      <c r="BU278" s="9"/>
      <c r="BV278" s="10"/>
      <c r="BW278" s="11"/>
      <c r="BX278" s="11"/>
      <c r="BY278" s="11"/>
      <c r="BZ278" s="11"/>
      <c r="CA278" s="11"/>
      <c r="CB278" s="12"/>
      <c r="CC278" s="13"/>
      <c r="CD278" s="14"/>
      <c r="CL278" s="11"/>
      <c r="CM278" s="11"/>
      <c r="CN278" s="11"/>
      <c r="CO278" s="11"/>
      <c r="CP278" s="11"/>
      <c r="CQ278" s="54"/>
      <c r="CR278" s="46"/>
      <c r="CS278" s="48"/>
      <c r="CT278" s="48"/>
      <c r="CU278" s="48"/>
      <c r="CV278" s="48"/>
      <c r="CW278" s="49"/>
      <c r="CX278" s="49"/>
    </row>
    <row r="279" spans="1:102" hidden="1" x14ac:dyDescent="0.25">
      <c r="A279" s="1" t="s">
        <v>285</v>
      </c>
      <c r="B279" s="1" t="s">
        <v>286</v>
      </c>
      <c r="C279" s="1" t="s">
        <v>286</v>
      </c>
      <c r="D279" s="2" t="s">
        <v>63</v>
      </c>
      <c r="E279" s="2" t="s">
        <v>63</v>
      </c>
      <c r="F279" s="3" t="e">
        <f>IF(BE279="S",
IF(#REF!+BM279=2018,
IF(#REF!=1,"18-19/1",
IF(#REF!=2,"18-19/2",
IF(#REF!=3,"19-20/1",
IF(#REF!=4,"19-20/2",
IF(#REF!=5,"20-21/1",
IF(#REF!=6,"20-21/2",
IF(#REF!=7,"21-22/1",
IF(#REF!=8,"21-22/2","Hata1")))))))),
IF(#REF!+BM279=2019,
IF(#REF!=1,"19-20/1",
IF(#REF!=2,"19-20/2",
IF(#REF!=3,"20-21/1",
IF(#REF!=4,"20-21/2",
IF(#REF!=5,"21-22/1",
IF(#REF!=6,"21-22/2",
IF(#REF!=7,"22-23/1",
IF(#REF!=8,"22-23/2","Hata2")))))))),
IF(#REF!+BM279=2020,
IF(#REF!=1,"20-21/1",
IF(#REF!=2,"20-21/2",
IF(#REF!=3,"21-22/1",
IF(#REF!=4,"21-22/2",
IF(#REF!=5,"22-23/1",
IF(#REF!=6,"22-23/2",
IF(#REF!=7,"23-24/1",
IF(#REF!=8,"23-24/2","Hata3")))))))),
IF(#REF!+BM279=2021,
IF(#REF!=1,"21-22/1",
IF(#REF!=2,"21-22/2",
IF(#REF!=3,"22-23/1",
IF(#REF!=4,"22-23/2",
IF(#REF!=5,"23-24/1",
IF(#REF!=6,"23-24/2",
IF(#REF!=7,"24-25/1",
IF(#REF!=8,"24-25/2","Hata4")))))))),
IF(#REF!+BM279=2022,
IF(#REF!=1,"22-23/1",
IF(#REF!=2,"22-23/2",
IF(#REF!=3,"23-24/1",
IF(#REF!=4,"23-24/2",
IF(#REF!=5,"24-25/1",
IF(#REF!=6,"24-25/2",
IF(#REF!=7,"25-26/1",
IF(#REF!=8,"25-26/2","Hata5")))))))),
IF(#REF!+BM279=2023,
IF(#REF!=1,"23-24/1",
IF(#REF!=2,"23-24/2",
IF(#REF!=3,"24-25/1",
IF(#REF!=4,"24-25/2",
IF(#REF!=5,"25-26/1",
IF(#REF!=6,"25-26/2",
IF(#REF!=7,"26-27/1",
IF(#REF!=8,"26-27/2","Hata6")))))))),
)))))),
IF(BE279="T",
IF(#REF!+BM279=2018,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IF(#REF!+BM279=2019,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IF(#REF!+BM279=2020,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IF(#REF!+BM279=2021,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IF(#REF!+BM279=2022,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IF(#REF!+BM279=2023,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H279" s="3">
        <v>33</v>
      </c>
      <c r="I279" s="1" t="s">
        <v>179</v>
      </c>
      <c r="L279" s="2">
        <v>3484</v>
      </c>
      <c r="N279" s="2">
        <v>4</v>
      </c>
      <c r="O279" s="6">
        <f t="shared" si="188"/>
        <v>3</v>
      </c>
      <c r="P279" s="2">
        <f t="shared" si="189"/>
        <v>3</v>
      </c>
      <c r="Q279" s="2">
        <v>0</v>
      </c>
      <c r="R279" s="2">
        <v>0</v>
      </c>
      <c r="S279" s="2">
        <v>3</v>
      </c>
      <c r="X279" s="3">
        <v>2</v>
      </c>
      <c r="Y279" s="1">
        <f>VLOOKUP(X279,[37]ölçme_sistemleri!I:L,2,FALSE)</f>
        <v>0</v>
      </c>
      <c r="Z279" s="1">
        <f>VLOOKUP(X279,[37]ölçme_sistemleri!I:L,3,FALSE)</f>
        <v>2</v>
      </c>
      <c r="AA279" s="1">
        <f>VLOOKUP(X279,[37]ölçme_sistemleri!I:L,4,FALSE)</f>
        <v>1</v>
      </c>
      <c r="AB279" s="1">
        <f>$O279*[37]ölçme_sistemleri!$J$13</f>
        <v>3</v>
      </c>
      <c r="AC279" s="1">
        <f>$O279*[37]ölçme_sistemleri!$K$13</f>
        <v>6</v>
      </c>
      <c r="AD279" s="1">
        <f>$O279*[37]ölçme_sistemleri!$L$13</f>
        <v>9</v>
      </c>
      <c r="AE279" s="1">
        <f t="shared" si="190"/>
        <v>0</v>
      </c>
      <c r="AF279" s="1">
        <f t="shared" si="191"/>
        <v>12</v>
      </c>
      <c r="AG279" s="1">
        <f t="shared" si="192"/>
        <v>9</v>
      </c>
      <c r="AH279" s="1">
        <f t="shared" si="193"/>
        <v>21</v>
      </c>
      <c r="AI279" s="1">
        <v>14</v>
      </c>
      <c r="AJ279" s="1">
        <f>VLOOKUP(X279,[37]ölçme_sistemleri!I:M,5,FALSE)</f>
        <v>2</v>
      </c>
      <c r="AK279" s="1">
        <f t="shared" si="194"/>
        <v>294</v>
      </c>
      <c r="AL279" s="1">
        <f t="shared" si="213"/>
        <v>42</v>
      </c>
      <c r="AM279" s="1">
        <f>VLOOKUP(X279,[37]ölçme_sistemleri!I:N,6,FALSE)</f>
        <v>3</v>
      </c>
      <c r="AN279" s="1">
        <v>2</v>
      </c>
      <c r="AO279" s="1">
        <f t="shared" si="195"/>
        <v>6</v>
      </c>
      <c r="AP279" s="1">
        <v>14</v>
      </c>
      <c r="AQ279" s="1">
        <f t="shared" si="205"/>
        <v>42</v>
      </c>
      <c r="AR279" s="1">
        <f t="shared" si="196"/>
        <v>111</v>
      </c>
      <c r="AS279" s="1">
        <f>IF(BE279="s",25,30)</f>
        <v>25</v>
      </c>
      <c r="AT279" s="1">
        <f t="shared" si="197"/>
        <v>4</v>
      </c>
      <c r="AU279" s="1">
        <f t="shared" si="206"/>
        <v>0</v>
      </c>
      <c r="AV279" s="1">
        <f t="shared" si="207"/>
        <v>0</v>
      </c>
      <c r="AW279" s="1">
        <f t="shared" si="208"/>
        <v>0</v>
      </c>
      <c r="AX279" s="1">
        <f t="shared" si="209"/>
        <v>0</v>
      </c>
      <c r="AY279" s="1">
        <f t="shared" si="198"/>
        <v>-21</v>
      </c>
      <c r="AZ279" s="1">
        <f t="shared" si="210"/>
        <v>0</v>
      </c>
      <c r="BA279" s="1">
        <f t="shared" si="199"/>
        <v>-42</v>
      </c>
      <c r="BB279" s="1">
        <f t="shared" si="200"/>
        <v>0</v>
      </c>
      <c r="BC279" s="1">
        <f t="shared" si="201"/>
        <v>-6</v>
      </c>
      <c r="BD279" s="1">
        <f t="shared" si="202"/>
        <v>0</v>
      </c>
      <c r="BE279" s="1" t="s">
        <v>65</v>
      </c>
      <c r="BF279" s="1">
        <f t="shared" si="211"/>
        <v>42</v>
      </c>
      <c r="BG279" s="1">
        <f t="shared" si="203"/>
        <v>42</v>
      </c>
      <c r="BH279" s="1">
        <f t="shared" si="204"/>
        <v>1</v>
      </c>
      <c r="BI279" s="1" t="e">
        <f>IF(BH279-#REF!=0,"DOĞRU","YANLIŞ")</f>
        <v>#REF!</v>
      </c>
      <c r="BJ279" s="1" t="e">
        <f>#REF!-BH279</f>
        <v>#REF!</v>
      </c>
      <c r="BK279" s="1">
        <v>0</v>
      </c>
      <c r="BM279" s="1">
        <v>0</v>
      </c>
      <c r="BT279" s="8">
        <f t="shared" si="212"/>
        <v>0</v>
      </c>
      <c r="BU279" s="9"/>
      <c r="BV279" s="10"/>
      <c r="BW279" s="11"/>
      <c r="BX279" s="11"/>
      <c r="BY279" s="11"/>
      <c r="BZ279" s="11"/>
      <c r="CA279" s="11"/>
      <c r="CB279" s="12"/>
      <c r="CC279" s="13"/>
      <c r="CD279" s="14"/>
      <c r="CL279" s="11"/>
      <c r="CM279" s="11"/>
      <c r="CN279" s="11"/>
      <c r="CO279" s="11"/>
      <c r="CP279" s="64"/>
      <c r="CQ279" s="49"/>
      <c r="CR279" s="46"/>
      <c r="CS279" s="49"/>
      <c r="CT279" s="48"/>
      <c r="CU279" s="49"/>
      <c r="CV279" s="48"/>
      <c r="CW279" s="49"/>
      <c r="CX279" s="49"/>
    </row>
    <row r="280" spans="1:102" hidden="1" x14ac:dyDescent="0.25">
      <c r="A280" s="1" t="s">
        <v>357</v>
      </c>
      <c r="B280" s="1" t="s">
        <v>358</v>
      </c>
      <c r="C280" s="1" t="s">
        <v>358</v>
      </c>
      <c r="D280" s="2" t="s">
        <v>63</v>
      </c>
      <c r="E280" s="2" t="s">
        <v>63</v>
      </c>
      <c r="F280" s="3" t="e">
        <f>IF(BE280="S",
IF(#REF!+BM280=2018,
IF(#REF!=1,"18-19/1",
IF(#REF!=2,"18-19/2",
IF(#REF!=3,"19-20/1",
IF(#REF!=4,"19-20/2",
IF(#REF!=5,"20-21/1",
IF(#REF!=6,"20-21/2",
IF(#REF!=7,"21-22/1",
IF(#REF!=8,"21-22/2","Hata1")))))))),
IF(#REF!+BM280=2019,
IF(#REF!=1,"19-20/1",
IF(#REF!=2,"19-20/2",
IF(#REF!=3,"20-21/1",
IF(#REF!=4,"20-21/2",
IF(#REF!=5,"21-22/1",
IF(#REF!=6,"21-22/2",
IF(#REF!=7,"22-23/1",
IF(#REF!=8,"22-23/2","Hata2")))))))),
IF(#REF!+BM280=2020,
IF(#REF!=1,"20-21/1",
IF(#REF!=2,"20-21/2",
IF(#REF!=3,"21-22/1",
IF(#REF!=4,"21-22/2",
IF(#REF!=5,"22-23/1",
IF(#REF!=6,"22-23/2",
IF(#REF!=7,"23-24/1",
IF(#REF!=8,"23-24/2","Hata3")))))))),
IF(#REF!+BM280=2021,
IF(#REF!=1,"21-22/1",
IF(#REF!=2,"21-22/2",
IF(#REF!=3,"22-23/1",
IF(#REF!=4,"22-23/2",
IF(#REF!=5,"23-24/1",
IF(#REF!=6,"23-24/2",
IF(#REF!=7,"24-25/1",
IF(#REF!=8,"24-25/2","Hata4")))))))),
IF(#REF!+BM280=2022,
IF(#REF!=1,"22-23/1",
IF(#REF!=2,"22-23/2",
IF(#REF!=3,"23-24/1",
IF(#REF!=4,"23-24/2",
IF(#REF!=5,"24-25/1",
IF(#REF!=6,"24-25/2",
IF(#REF!=7,"25-26/1",
IF(#REF!=8,"25-26/2","Hata5")))))))),
IF(#REF!+BM280=2023,
IF(#REF!=1,"23-24/1",
IF(#REF!=2,"23-24/2",
IF(#REF!=3,"24-25/1",
IF(#REF!=4,"24-25/2",
IF(#REF!=5,"25-26/1",
IF(#REF!=6,"25-26/2",
IF(#REF!=7,"26-27/1",
IF(#REF!=8,"26-27/2","Hata6")))))))),
)))))),
IF(BE280="T",
IF(#REF!+BM280=2018,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0" s="1" t="s">
        <v>179</v>
      </c>
      <c r="L280" s="2">
        <v>4366</v>
      </c>
      <c r="N280" s="2">
        <v>1</v>
      </c>
      <c r="O280" s="6">
        <f t="shared" si="188"/>
        <v>1</v>
      </c>
      <c r="P280" s="2">
        <f t="shared" si="189"/>
        <v>1</v>
      </c>
      <c r="Q280" s="2">
        <v>1</v>
      </c>
      <c r="R280" s="2">
        <v>0</v>
      </c>
      <c r="S280" s="2">
        <v>0</v>
      </c>
      <c r="X280" s="3">
        <v>0</v>
      </c>
      <c r="Y280" s="1">
        <f>VLOOKUP(X280,[4]ölçme_sistemleri!I:L,2,FALSE)</f>
        <v>0</v>
      </c>
      <c r="Z280" s="1">
        <f>VLOOKUP(X280,[4]ölçme_sistemleri!I:L,3,FALSE)</f>
        <v>0</v>
      </c>
      <c r="AA280" s="1">
        <f>VLOOKUP(X280,[4]ölçme_sistemleri!I:L,4,FALSE)</f>
        <v>0</v>
      </c>
      <c r="AB280" s="1">
        <f>$O280*[4]ölçme_sistemleri!J$13</f>
        <v>1</v>
      </c>
      <c r="AC280" s="1">
        <f>$O280*[4]ölçme_sistemleri!K$13</f>
        <v>2</v>
      </c>
      <c r="AD280" s="1">
        <f>$O280*[4]ölçme_sistemleri!L$13</f>
        <v>3</v>
      </c>
      <c r="AE280" s="1">
        <f t="shared" si="190"/>
        <v>0</v>
      </c>
      <c r="AF280" s="1">
        <f t="shared" si="191"/>
        <v>0</v>
      </c>
      <c r="AG280" s="1">
        <f t="shared" si="192"/>
        <v>0</v>
      </c>
      <c r="AH280" s="1">
        <f t="shared" si="193"/>
        <v>0</v>
      </c>
      <c r="AI280" s="1">
        <v>14</v>
      </c>
      <c r="AJ280" s="1">
        <f>VLOOKUP(X280,[4]ölçme_sistemleri!I:M,5,FALSE)</f>
        <v>0</v>
      </c>
      <c r="AK280" s="1">
        <f t="shared" si="194"/>
        <v>0</v>
      </c>
      <c r="AL280" s="1">
        <f t="shared" si="213"/>
        <v>14</v>
      </c>
      <c r="AM280" s="1">
        <f>VLOOKUP(X280,[4]ölçme_sistemleri!I:N,6,FALSE)</f>
        <v>0</v>
      </c>
      <c r="AN280" s="1">
        <v>2</v>
      </c>
      <c r="AO280" s="1">
        <f t="shared" si="195"/>
        <v>0</v>
      </c>
      <c r="AP280" s="1">
        <v>14</v>
      </c>
      <c r="AQ280" s="1">
        <f t="shared" si="205"/>
        <v>14</v>
      </c>
      <c r="AR280" s="1">
        <f t="shared" si="196"/>
        <v>28</v>
      </c>
      <c r="AS280" s="1">
        <f>IF(BE280="s",25,25)</f>
        <v>25</v>
      </c>
      <c r="AT280" s="1">
        <f t="shared" si="197"/>
        <v>1</v>
      </c>
      <c r="AU280" s="1">
        <f t="shared" si="206"/>
        <v>0</v>
      </c>
      <c r="AV280" s="1">
        <f t="shared" si="207"/>
        <v>0</v>
      </c>
      <c r="AW280" s="1">
        <f t="shared" si="208"/>
        <v>0</v>
      </c>
      <c r="AX280" s="1">
        <f t="shared" si="209"/>
        <v>0</v>
      </c>
      <c r="AY280" s="1">
        <f t="shared" si="198"/>
        <v>-3</v>
      </c>
      <c r="AZ280" s="1">
        <f t="shared" si="210"/>
        <v>0</v>
      </c>
      <c r="BA280" s="1">
        <f t="shared" si="199"/>
        <v>-14</v>
      </c>
      <c r="BB280" s="1">
        <f t="shared" si="200"/>
        <v>0</v>
      </c>
      <c r="BC280" s="1">
        <f t="shared" si="201"/>
        <v>0</v>
      </c>
      <c r="BD280" s="1">
        <f t="shared" si="202"/>
        <v>0</v>
      </c>
      <c r="BE280" s="1" t="s">
        <v>65</v>
      </c>
      <c r="BF280" s="1">
        <f t="shared" si="211"/>
        <v>14</v>
      </c>
      <c r="BG280" s="1">
        <f t="shared" si="203"/>
        <v>14</v>
      </c>
      <c r="BH280" s="1">
        <f t="shared" si="204"/>
        <v>0</v>
      </c>
      <c r="BI280" s="1" t="e">
        <f>IF(BH280-#REF!=0,"DOĞRU","YANLIŞ")</f>
        <v>#REF!</v>
      </c>
      <c r="BJ280" s="1" t="e">
        <f>#REF!-BH280</f>
        <v>#REF!</v>
      </c>
      <c r="BK280" s="1">
        <v>0</v>
      </c>
      <c r="BM280" s="1">
        <v>0</v>
      </c>
      <c r="BO280" s="1">
        <v>0</v>
      </c>
      <c r="BT280" s="8">
        <f t="shared" si="212"/>
        <v>0</v>
      </c>
      <c r="BU280" s="9"/>
      <c r="BV280" s="10"/>
      <c r="BW280" s="11"/>
      <c r="BX280" s="11"/>
      <c r="BY280" s="11"/>
      <c r="BZ280" s="11"/>
      <c r="CA280" s="11"/>
      <c r="CB280" s="12"/>
      <c r="CC280" s="13"/>
      <c r="CD280" s="14"/>
      <c r="CL280" s="11"/>
      <c r="CM280" s="11"/>
      <c r="CN280" s="11"/>
      <c r="CO280" s="11"/>
      <c r="CP280" s="11"/>
      <c r="CQ280" s="49"/>
      <c r="CR280" s="46"/>
      <c r="CS280" s="48"/>
      <c r="CT280" s="48"/>
      <c r="CU280" s="48"/>
      <c r="CV280" s="48"/>
      <c r="CW280" s="49"/>
      <c r="CX280" s="49"/>
    </row>
    <row r="281" spans="1:102" hidden="1" x14ac:dyDescent="0.25">
      <c r="A281" s="1" t="s">
        <v>357</v>
      </c>
      <c r="B281" s="1" t="s">
        <v>358</v>
      </c>
      <c r="C281" s="1" t="s">
        <v>358</v>
      </c>
      <c r="D281" s="2" t="s">
        <v>63</v>
      </c>
      <c r="E281" s="2" t="s">
        <v>63</v>
      </c>
      <c r="F281" s="3" t="e">
        <f>IF(BE281="S",
IF(#REF!+BM281=2018,
IF(#REF!=1,"18-19/1",
IF(#REF!=2,"18-19/2",
IF(#REF!=3,"19-20/1",
IF(#REF!=4,"19-20/2",
IF(#REF!=5,"20-21/1",
IF(#REF!=6,"20-21/2",
IF(#REF!=7,"21-22/1",
IF(#REF!=8,"21-22/2","Hata1")))))))),
IF(#REF!+BM281=2019,
IF(#REF!=1,"19-20/1",
IF(#REF!=2,"19-20/2",
IF(#REF!=3,"20-21/1",
IF(#REF!=4,"20-21/2",
IF(#REF!=5,"21-22/1",
IF(#REF!=6,"21-22/2",
IF(#REF!=7,"22-23/1",
IF(#REF!=8,"22-23/2","Hata2")))))))),
IF(#REF!+BM281=2020,
IF(#REF!=1,"20-21/1",
IF(#REF!=2,"20-21/2",
IF(#REF!=3,"21-22/1",
IF(#REF!=4,"21-22/2",
IF(#REF!=5,"22-23/1",
IF(#REF!=6,"22-23/2",
IF(#REF!=7,"23-24/1",
IF(#REF!=8,"23-24/2","Hata3")))))))),
IF(#REF!+BM281=2021,
IF(#REF!=1,"21-22/1",
IF(#REF!=2,"21-22/2",
IF(#REF!=3,"22-23/1",
IF(#REF!=4,"22-23/2",
IF(#REF!=5,"23-24/1",
IF(#REF!=6,"23-24/2",
IF(#REF!=7,"24-25/1",
IF(#REF!=8,"24-25/2","Hata4")))))))),
IF(#REF!+BM281=2022,
IF(#REF!=1,"22-23/1",
IF(#REF!=2,"22-23/2",
IF(#REF!=3,"23-24/1",
IF(#REF!=4,"23-24/2",
IF(#REF!=5,"24-25/1",
IF(#REF!=6,"24-25/2",
IF(#REF!=7,"25-26/1",
IF(#REF!=8,"25-26/2","Hata5")))))))),
IF(#REF!+BM281=2023,
IF(#REF!=1,"23-24/1",
IF(#REF!=2,"23-24/2",
IF(#REF!=3,"24-25/1",
IF(#REF!=4,"24-25/2",
IF(#REF!=5,"25-26/1",
IF(#REF!=6,"25-26/2",
IF(#REF!=7,"26-27/1",
IF(#REF!=8,"26-27/2","Hata6")))))))),
)))))),
IF(BE281="T",
IF(#REF!+BM281=2018,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1" s="1" t="s">
        <v>179</v>
      </c>
      <c r="J281" s="1">
        <v>4234788</v>
      </c>
      <c r="L281" s="2">
        <v>4366</v>
      </c>
      <c r="N281" s="2">
        <v>1</v>
      </c>
      <c r="O281" s="6">
        <f t="shared" si="188"/>
        <v>1</v>
      </c>
      <c r="P281" s="2">
        <f t="shared" si="189"/>
        <v>1</v>
      </c>
      <c r="Q281" s="2">
        <v>1</v>
      </c>
      <c r="R281" s="2">
        <v>0</v>
      </c>
      <c r="S281" s="2">
        <v>0</v>
      </c>
      <c r="X281" s="3">
        <v>0</v>
      </c>
      <c r="Y281" s="1">
        <f>VLOOKUP(X281,[4]ölçme_sistemleri!I:L,2,FALSE)</f>
        <v>0</v>
      </c>
      <c r="Z281" s="1">
        <f>VLOOKUP(X281,[4]ölçme_sistemleri!I:L,3,FALSE)</f>
        <v>0</v>
      </c>
      <c r="AA281" s="1">
        <f>VLOOKUP(X281,[4]ölçme_sistemleri!I:L,4,FALSE)</f>
        <v>0</v>
      </c>
      <c r="AB281" s="1">
        <f>$O281*[4]ölçme_sistemleri!J$13</f>
        <v>1</v>
      </c>
      <c r="AC281" s="1">
        <f>$O281*[4]ölçme_sistemleri!K$13</f>
        <v>2</v>
      </c>
      <c r="AD281" s="1">
        <f>$O281*[4]ölçme_sistemleri!L$13</f>
        <v>3</v>
      </c>
      <c r="AE281" s="1">
        <f t="shared" si="190"/>
        <v>0</v>
      </c>
      <c r="AF281" s="1">
        <f t="shared" si="191"/>
        <v>0</v>
      </c>
      <c r="AG281" s="1">
        <f t="shared" si="192"/>
        <v>0</v>
      </c>
      <c r="AH281" s="1">
        <f t="shared" si="193"/>
        <v>0</v>
      </c>
      <c r="AI281" s="1">
        <v>14</v>
      </c>
      <c r="AJ281" s="1">
        <f>VLOOKUP(X281,[4]ölçme_sistemleri!I:M,5,FALSE)</f>
        <v>0</v>
      </c>
      <c r="AK281" s="1">
        <f t="shared" si="194"/>
        <v>0</v>
      </c>
      <c r="AL281" s="1">
        <f t="shared" si="213"/>
        <v>14</v>
      </c>
      <c r="AM281" s="1">
        <f>VLOOKUP(X281,[4]ölçme_sistemleri!I:N,6,FALSE)</f>
        <v>0</v>
      </c>
      <c r="AN281" s="1">
        <v>2</v>
      </c>
      <c r="AO281" s="1">
        <f t="shared" si="195"/>
        <v>0</v>
      </c>
      <c r="AP281" s="1">
        <v>14</v>
      </c>
      <c r="AQ281" s="1">
        <f t="shared" si="205"/>
        <v>14</v>
      </c>
      <c r="AR281" s="1">
        <f t="shared" si="196"/>
        <v>28</v>
      </c>
      <c r="AS281" s="1">
        <f>IF(BE281="s",25,25)</f>
        <v>25</v>
      </c>
      <c r="AT281" s="1">
        <f t="shared" si="197"/>
        <v>1</v>
      </c>
      <c r="AU281" s="1">
        <f t="shared" si="206"/>
        <v>0</v>
      </c>
      <c r="AV281" s="1">
        <f t="shared" si="207"/>
        <v>0</v>
      </c>
      <c r="AW281" s="1">
        <f t="shared" si="208"/>
        <v>0</v>
      </c>
      <c r="AX281" s="1">
        <f t="shared" si="209"/>
        <v>0</v>
      </c>
      <c r="AY281" s="1">
        <f t="shared" si="198"/>
        <v>-3</v>
      </c>
      <c r="AZ281" s="1">
        <f t="shared" si="210"/>
        <v>0</v>
      </c>
      <c r="BA281" s="1">
        <f t="shared" si="199"/>
        <v>-14</v>
      </c>
      <c r="BB281" s="1">
        <f t="shared" si="200"/>
        <v>0</v>
      </c>
      <c r="BC281" s="1">
        <f t="shared" si="201"/>
        <v>0</v>
      </c>
      <c r="BD281" s="1">
        <f t="shared" si="202"/>
        <v>0</v>
      </c>
      <c r="BE281" s="1" t="s">
        <v>65</v>
      </c>
      <c r="BF281" s="1">
        <f t="shared" si="211"/>
        <v>14</v>
      </c>
      <c r="BG281" s="1">
        <f t="shared" si="203"/>
        <v>14</v>
      </c>
      <c r="BH281" s="1">
        <f t="shared" si="204"/>
        <v>0</v>
      </c>
      <c r="BI281" s="1" t="e">
        <f>IF(BH281-#REF!=0,"DOĞRU","YANLIŞ")</f>
        <v>#REF!</v>
      </c>
      <c r="BJ281" s="1" t="e">
        <f>#REF!-BH281</f>
        <v>#REF!</v>
      </c>
      <c r="BK281" s="1">
        <v>0</v>
      </c>
      <c r="BM281" s="1">
        <v>0</v>
      </c>
      <c r="BO281" s="1">
        <v>0</v>
      </c>
      <c r="BT281" s="8">
        <f t="shared" si="212"/>
        <v>0</v>
      </c>
      <c r="BU281" s="9"/>
      <c r="BV281" s="10"/>
      <c r="BW281" s="11"/>
      <c r="BX281" s="11"/>
      <c r="BY281" s="11"/>
      <c r="BZ281" s="11"/>
      <c r="CA281" s="11"/>
      <c r="CB281" s="12"/>
      <c r="CC281" s="13"/>
      <c r="CD281" s="14"/>
      <c r="CL281" s="11"/>
      <c r="CM281" s="11"/>
      <c r="CN281" s="11"/>
      <c r="CO281" s="64"/>
      <c r="CP281" s="64"/>
      <c r="CQ281" s="49"/>
      <c r="CR281" s="46"/>
      <c r="CS281" s="49"/>
      <c r="CT281" s="48"/>
      <c r="CU281" s="49"/>
      <c r="CV281" s="48"/>
      <c r="CW281" s="49"/>
      <c r="CX281" s="49"/>
    </row>
    <row r="282" spans="1:102" hidden="1" x14ac:dyDescent="0.25">
      <c r="A282" s="1" t="s">
        <v>301</v>
      </c>
      <c r="B282" s="1" t="s">
        <v>302</v>
      </c>
      <c r="C282" s="1" t="s">
        <v>302</v>
      </c>
      <c r="D282" s="2" t="s">
        <v>63</v>
      </c>
      <c r="E282" s="2" t="s">
        <v>63</v>
      </c>
      <c r="F282" s="3" t="e">
        <f>IF(BE282="S",
IF(#REF!+BM282=2018,
IF(#REF!=1,"18-19/1",
IF(#REF!=2,"18-19/2",
IF(#REF!=3,"19-20/1",
IF(#REF!=4,"19-20/2",
IF(#REF!=5,"20-21/1",
IF(#REF!=6,"20-21/2",
IF(#REF!=7,"21-22/1",
IF(#REF!=8,"21-22/2","Hata1")))))))),
IF(#REF!+BM282=2019,
IF(#REF!=1,"19-20/1",
IF(#REF!=2,"19-20/2",
IF(#REF!=3,"20-21/1",
IF(#REF!=4,"20-21/2",
IF(#REF!=5,"21-22/1",
IF(#REF!=6,"21-22/2",
IF(#REF!=7,"22-23/1",
IF(#REF!=8,"22-23/2","Hata2")))))))),
IF(#REF!+BM282=2020,
IF(#REF!=1,"20-21/1",
IF(#REF!=2,"20-21/2",
IF(#REF!=3,"21-22/1",
IF(#REF!=4,"21-22/2",
IF(#REF!=5,"22-23/1",
IF(#REF!=6,"22-23/2",
IF(#REF!=7,"23-24/1",
IF(#REF!=8,"23-24/2","Hata3")))))))),
IF(#REF!+BM282=2021,
IF(#REF!=1,"21-22/1",
IF(#REF!=2,"21-22/2",
IF(#REF!=3,"22-23/1",
IF(#REF!=4,"22-23/2",
IF(#REF!=5,"23-24/1",
IF(#REF!=6,"23-24/2",
IF(#REF!=7,"24-25/1",
IF(#REF!=8,"24-25/2","Hata4")))))))),
IF(#REF!+BM282=2022,
IF(#REF!=1,"22-23/1",
IF(#REF!=2,"22-23/2",
IF(#REF!=3,"23-24/1",
IF(#REF!=4,"23-24/2",
IF(#REF!=5,"24-25/1",
IF(#REF!=6,"24-25/2",
IF(#REF!=7,"25-26/1",
IF(#REF!=8,"25-26/2","Hata5")))))))),
IF(#REF!+BM282=2023,
IF(#REF!=1,"23-24/1",
IF(#REF!=2,"23-24/2",
IF(#REF!=3,"24-25/1",
IF(#REF!=4,"24-25/2",
IF(#REF!=5,"25-26/1",
IF(#REF!=6,"25-26/2",
IF(#REF!=7,"26-27/1",
IF(#REF!=8,"26-27/2","Hata6")))))))),
)))))),
IF(BE282="T",
IF(#REF!+BM282=2018,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2" s="1" t="s">
        <v>179</v>
      </c>
      <c r="L282" s="2">
        <v>3225</v>
      </c>
      <c r="N282" s="2">
        <v>4</v>
      </c>
      <c r="O282" s="6">
        <f t="shared" si="188"/>
        <v>3</v>
      </c>
      <c r="P282" s="2">
        <f t="shared" si="189"/>
        <v>3</v>
      </c>
      <c r="Q282" s="2">
        <v>0</v>
      </c>
      <c r="R282" s="2">
        <v>0</v>
      </c>
      <c r="S282" s="2">
        <v>3</v>
      </c>
      <c r="X282" s="3">
        <v>2</v>
      </c>
      <c r="Y282" s="1">
        <f>VLOOKUP(X282,[36]ölçme_sistemleri!I:L,2,FALSE)</f>
        <v>0</v>
      </c>
      <c r="Z282" s="1">
        <f>VLOOKUP(X282,[36]ölçme_sistemleri!I:L,3,FALSE)</f>
        <v>2</v>
      </c>
      <c r="AA282" s="1">
        <f>VLOOKUP(X282,[36]ölçme_sistemleri!I:L,4,FALSE)</f>
        <v>1</v>
      </c>
      <c r="AB282" s="1">
        <f>$O282*[36]ölçme_sistemleri!$J$13</f>
        <v>3</v>
      </c>
      <c r="AC282" s="1">
        <f>$O282*[36]ölçme_sistemleri!$K$13</f>
        <v>6</v>
      </c>
      <c r="AD282" s="1">
        <f>$O282*[36]ölçme_sistemleri!$L$13</f>
        <v>9</v>
      </c>
      <c r="AE282" s="1">
        <f t="shared" si="190"/>
        <v>0</v>
      </c>
      <c r="AF282" s="1">
        <f t="shared" si="191"/>
        <v>12</v>
      </c>
      <c r="AG282" s="1">
        <f t="shared" si="192"/>
        <v>9</v>
      </c>
      <c r="AH282" s="1">
        <f t="shared" si="193"/>
        <v>21</v>
      </c>
      <c r="AI282" s="1">
        <v>14</v>
      </c>
      <c r="AJ282" s="1">
        <f>VLOOKUP(X282,[36]ölçme_sistemleri!I:M,5,FALSE)</f>
        <v>2</v>
      </c>
      <c r="AK282" s="1">
        <f t="shared" si="194"/>
        <v>294</v>
      </c>
      <c r="AL282" s="1">
        <f>((Q282+S282)*AI282)/2</f>
        <v>21</v>
      </c>
      <c r="AM282" s="1">
        <f>VLOOKUP(X282,[36]ölçme_sistemleri!I:N,6,FALSE)</f>
        <v>3</v>
      </c>
      <c r="AN282" s="1">
        <v>2</v>
      </c>
      <c r="AO282" s="1">
        <f t="shared" si="195"/>
        <v>6</v>
      </c>
      <c r="AP282" s="1">
        <v>14</v>
      </c>
      <c r="AQ282" s="1">
        <f t="shared" si="205"/>
        <v>42</v>
      </c>
      <c r="AR282" s="1">
        <f t="shared" si="196"/>
        <v>90</v>
      </c>
      <c r="AS282" s="1">
        <f t="shared" ref="AS282:AS322" si="214">IF(BE282="s",25,30)</f>
        <v>25</v>
      </c>
      <c r="AT282" s="1">
        <f t="shared" si="197"/>
        <v>4</v>
      </c>
      <c r="AU282" s="1">
        <f t="shared" si="206"/>
        <v>0</v>
      </c>
      <c r="AV282" s="1">
        <f t="shared" si="207"/>
        <v>0</v>
      </c>
      <c r="AW282" s="1">
        <f t="shared" si="208"/>
        <v>0</v>
      </c>
      <c r="AX282" s="1">
        <f t="shared" si="209"/>
        <v>0</v>
      </c>
      <c r="AY282" s="1">
        <f t="shared" si="198"/>
        <v>-21</v>
      </c>
      <c r="AZ282" s="1">
        <f t="shared" si="210"/>
        <v>0</v>
      </c>
      <c r="BA282" s="1">
        <f t="shared" si="199"/>
        <v>-21</v>
      </c>
      <c r="BB282" s="1">
        <f t="shared" si="200"/>
        <v>0</v>
      </c>
      <c r="BC282" s="1">
        <f t="shared" si="201"/>
        <v>-6</v>
      </c>
      <c r="BD282" s="1">
        <f t="shared" si="202"/>
        <v>0</v>
      </c>
      <c r="BE282" s="1" t="s">
        <v>65</v>
      </c>
      <c r="BF282" s="1">
        <f t="shared" si="211"/>
        <v>42</v>
      </c>
      <c r="BG282" s="1">
        <f t="shared" si="203"/>
        <v>42</v>
      </c>
      <c r="BH282" s="1">
        <f t="shared" si="204"/>
        <v>1</v>
      </c>
      <c r="BI282" s="1" t="e">
        <f>IF(BH282-#REF!=0,"DOĞRU","YANLIŞ")</f>
        <v>#REF!</v>
      </c>
      <c r="BJ282" s="1" t="e">
        <f>#REF!-BH282</f>
        <v>#REF!</v>
      </c>
      <c r="BK282" s="1">
        <v>0</v>
      </c>
      <c r="BM282" s="1">
        <v>0</v>
      </c>
      <c r="BT282" s="8">
        <f t="shared" si="212"/>
        <v>0</v>
      </c>
      <c r="BU282" s="9"/>
      <c r="BV282" s="10"/>
      <c r="BW282" s="11"/>
      <c r="BX282" s="11"/>
      <c r="BY282" s="11"/>
      <c r="BZ282" s="11"/>
      <c r="CA282" s="11"/>
      <c r="CB282" s="12"/>
      <c r="CC282" s="13"/>
      <c r="CD282" s="14"/>
      <c r="CL282" s="11"/>
      <c r="CM282" s="11"/>
      <c r="CN282" s="11"/>
      <c r="CO282" s="11"/>
      <c r="CP282" s="11"/>
      <c r="CQ282" s="49"/>
      <c r="CR282" s="46"/>
      <c r="CS282" s="49"/>
      <c r="CT282" s="48"/>
      <c r="CU282" s="49"/>
      <c r="CV282" s="48"/>
      <c r="CW282" s="49"/>
      <c r="CX282" s="49"/>
    </row>
    <row r="283" spans="1:102" hidden="1" x14ac:dyDescent="0.25">
      <c r="A283" s="1" t="s">
        <v>295</v>
      </c>
      <c r="B283" s="1" t="s">
        <v>296</v>
      </c>
      <c r="C283" s="1" t="s">
        <v>296</v>
      </c>
      <c r="D283" s="2" t="s">
        <v>63</v>
      </c>
      <c r="E283" s="2" t="s">
        <v>63</v>
      </c>
      <c r="F283" s="3" t="e">
        <f>IF(BE283="S",
IF(#REF!+BM283=2018,
IF(#REF!=1,"18-19/1",
IF(#REF!=2,"18-19/2",
IF(#REF!=3,"19-20/1",
IF(#REF!=4,"19-20/2",
IF(#REF!=5,"20-21/1",
IF(#REF!=6,"20-21/2",
IF(#REF!=7,"21-22/1",
IF(#REF!=8,"21-22/2","Hata1")))))))),
IF(#REF!+BM283=2019,
IF(#REF!=1,"19-20/1",
IF(#REF!=2,"19-20/2",
IF(#REF!=3,"20-21/1",
IF(#REF!=4,"20-21/2",
IF(#REF!=5,"21-22/1",
IF(#REF!=6,"21-22/2",
IF(#REF!=7,"22-23/1",
IF(#REF!=8,"22-23/2","Hata2")))))))),
IF(#REF!+BM283=2020,
IF(#REF!=1,"20-21/1",
IF(#REF!=2,"20-21/2",
IF(#REF!=3,"21-22/1",
IF(#REF!=4,"21-22/2",
IF(#REF!=5,"22-23/1",
IF(#REF!=6,"22-23/2",
IF(#REF!=7,"23-24/1",
IF(#REF!=8,"23-24/2","Hata3")))))))),
IF(#REF!+BM283=2021,
IF(#REF!=1,"21-22/1",
IF(#REF!=2,"21-22/2",
IF(#REF!=3,"22-23/1",
IF(#REF!=4,"22-23/2",
IF(#REF!=5,"23-24/1",
IF(#REF!=6,"23-24/2",
IF(#REF!=7,"24-25/1",
IF(#REF!=8,"24-25/2","Hata4")))))))),
IF(#REF!+BM283=2022,
IF(#REF!=1,"22-23/1",
IF(#REF!=2,"22-23/2",
IF(#REF!=3,"23-24/1",
IF(#REF!=4,"23-24/2",
IF(#REF!=5,"24-25/1",
IF(#REF!=6,"24-25/2",
IF(#REF!=7,"25-26/1",
IF(#REF!=8,"25-26/2","Hata5")))))))),
IF(#REF!+BM283=2023,
IF(#REF!=1,"23-24/1",
IF(#REF!=2,"23-24/2",
IF(#REF!=3,"24-25/1",
IF(#REF!=4,"24-25/2",
IF(#REF!=5,"25-26/1",
IF(#REF!=6,"25-26/2",
IF(#REF!=7,"26-27/1",
IF(#REF!=8,"26-27/2","Hata6")))))))),
)))))),
IF(BE283="T",
IF(#REF!+BM283=2018,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3" s="1" t="s">
        <v>179</v>
      </c>
      <c r="L283" s="2">
        <v>3226</v>
      </c>
      <c r="N283" s="2">
        <v>6</v>
      </c>
      <c r="O283" s="6">
        <f t="shared" si="188"/>
        <v>3</v>
      </c>
      <c r="P283" s="2">
        <f t="shared" si="189"/>
        <v>3</v>
      </c>
      <c r="Q283" s="2">
        <v>3</v>
      </c>
      <c r="R283" s="2">
        <v>0</v>
      </c>
      <c r="S283" s="2">
        <v>0</v>
      </c>
      <c r="X283" s="3">
        <v>2</v>
      </c>
      <c r="Y283" s="1">
        <f>VLOOKUP(X283,[36]ölçme_sistemleri!I:L,2,FALSE)</f>
        <v>0</v>
      </c>
      <c r="Z283" s="1">
        <f>VLOOKUP(X283,[36]ölçme_sistemleri!I:L,3,FALSE)</f>
        <v>2</v>
      </c>
      <c r="AA283" s="1">
        <f>VLOOKUP(X283,[36]ölçme_sistemleri!I:L,4,FALSE)</f>
        <v>1</v>
      </c>
      <c r="AB283" s="1">
        <f>$O283*[36]ölçme_sistemleri!$J$13</f>
        <v>3</v>
      </c>
      <c r="AC283" s="1">
        <f>$O283*[36]ölçme_sistemleri!$K$13</f>
        <v>6</v>
      </c>
      <c r="AD283" s="1">
        <f>$O283*[36]ölçme_sistemleri!$L$13</f>
        <v>9</v>
      </c>
      <c r="AE283" s="1">
        <f t="shared" si="190"/>
        <v>0</v>
      </c>
      <c r="AF283" s="1">
        <f t="shared" si="191"/>
        <v>12</v>
      </c>
      <c r="AG283" s="1">
        <f t="shared" si="192"/>
        <v>9</v>
      </c>
      <c r="AH283" s="1">
        <f t="shared" si="193"/>
        <v>21</v>
      </c>
      <c r="AI283" s="1">
        <v>14</v>
      </c>
      <c r="AJ283" s="1">
        <f>VLOOKUP(X283,[36]ölçme_sistemleri!I:M,5,FALSE)</f>
        <v>2</v>
      </c>
      <c r="AK283" s="1">
        <f t="shared" si="194"/>
        <v>294</v>
      </c>
      <c r="AL283" s="1">
        <f>AI283*5</f>
        <v>70</v>
      </c>
      <c r="AM283" s="1">
        <f>VLOOKUP(X283,[36]ölçme_sistemleri!I:N,6,FALSE)</f>
        <v>3</v>
      </c>
      <c r="AN283" s="1">
        <v>2</v>
      </c>
      <c r="AO283" s="1">
        <f t="shared" si="195"/>
        <v>6</v>
      </c>
      <c r="AP283" s="1">
        <v>14</v>
      </c>
      <c r="AQ283" s="1">
        <f t="shared" si="205"/>
        <v>42</v>
      </c>
      <c r="AR283" s="1">
        <f t="shared" si="196"/>
        <v>139</v>
      </c>
      <c r="AS283" s="1">
        <f t="shared" si="214"/>
        <v>25</v>
      </c>
      <c r="AT283" s="1">
        <f t="shared" si="197"/>
        <v>6</v>
      </c>
      <c r="AU283" s="1">
        <f t="shared" si="206"/>
        <v>0</v>
      </c>
      <c r="AV283" s="1">
        <f t="shared" si="207"/>
        <v>0</v>
      </c>
      <c r="AW283" s="1">
        <f t="shared" si="208"/>
        <v>0</v>
      </c>
      <c r="AX283" s="1">
        <f t="shared" si="209"/>
        <v>0</v>
      </c>
      <c r="AY283" s="1">
        <f t="shared" si="198"/>
        <v>-21</v>
      </c>
      <c r="AZ283" s="1">
        <f t="shared" si="210"/>
        <v>0</v>
      </c>
      <c r="BA283" s="1">
        <f t="shared" si="199"/>
        <v>-70</v>
      </c>
      <c r="BB283" s="1">
        <f t="shared" si="200"/>
        <v>0</v>
      </c>
      <c r="BC283" s="1">
        <f t="shared" si="201"/>
        <v>-6</v>
      </c>
      <c r="BD283" s="1">
        <f t="shared" si="202"/>
        <v>0</v>
      </c>
      <c r="BE283" s="1" t="s">
        <v>65</v>
      </c>
      <c r="BF283" s="1">
        <f t="shared" si="211"/>
        <v>42</v>
      </c>
      <c r="BG283" s="1">
        <f t="shared" si="203"/>
        <v>42</v>
      </c>
      <c r="BH283" s="1">
        <f t="shared" si="204"/>
        <v>1</v>
      </c>
      <c r="BI283" s="1" t="e">
        <f>IF(BH283-#REF!=0,"DOĞRU","YANLIŞ")</f>
        <v>#REF!</v>
      </c>
      <c r="BJ283" s="1" t="e">
        <f>#REF!-BH283</f>
        <v>#REF!</v>
      </c>
      <c r="BK283" s="1">
        <v>0</v>
      </c>
      <c r="BM283" s="1">
        <v>0</v>
      </c>
      <c r="BT283" s="8">
        <f t="shared" si="212"/>
        <v>0</v>
      </c>
      <c r="BU283" s="9"/>
      <c r="BV283" s="10"/>
      <c r="BW283" s="11"/>
      <c r="BX283" s="11"/>
      <c r="BY283" s="11"/>
      <c r="BZ283" s="11"/>
      <c r="CA283" s="11"/>
      <c r="CB283" s="12"/>
      <c r="CC283" s="13"/>
      <c r="CD283" s="14"/>
      <c r="CL283" s="11"/>
      <c r="CM283" s="11"/>
      <c r="CN283" s="11"/>
      <c r="CO283" s="64"/>
      <c r="CP283" s="64"/>
      <c r="CQ283" s="54"/>
      <c r="CR283" s="46"/>
      <c r="CS283" s="48"/>
      <c r="CT283" s="48"/>
      <c r="CU283" s="48"/>
      <c r="CV283" s="48"/>
      <c r="CW283" s="49"/>
      <c r="CX283" s="49"/>
    </row>
    <row r="284" spans="1:102" hidden="1" x14ac:dyDescent="0.25">
      <c r="A284" s="1" t="s">
        <v>305</v>
      </c>
      <c r="B284" s="1" t="s">
        <v>306</v>
      </c>
      <c r="C284" s="1" t="s">
        <v>306</v>
      </c>
      <c r="D284" s="2" t="s">
        <v>58</v>
      </c>
      <c r="E284" s="2" t="s">
        <v>58</v>
      </c>
      <c r="F284" s="3" t="e">
        <f>IF(BE284="S",
IF(#REF!+BM284=2018,
IF(#REF!=1,"18-19/1",
IF(#REF!=2,"18-19/2",
IF(#REF!=3,"19-20/1",
IF(#REF!=4,"19-20/2",
IF(#REF!=5,"20-21/1",
IF(#REF!=6,"20-21/2",
IF(#REF!=7,"21-22/1",
IF(#REF!=8,"21-22/2","Hata1")))))))),
IF(#REF!+BM284=2019,
IF(#REF!=1,"19-20/1",
IF(#REF!=2,"19-20/2",
IF(#REF!=3,"20-21/1",
IF(#REF!=4,"20-21/2",
IF(#REF!=5,"21-22/1",
IF(#REF!=6,"21-22/2",
IF(#REF!=7,"22-23/1",
IF(#REF!=8,"22-23/2","Hata2")))))))),
IF(#REF!+BM284=2020,
IF(#REF!=1,"20-21/1",
IF(#REF!=2,"20-21/2",
IF(#REF!=3,"21-22/1",
IF(#REF!=4,"21-22/2",
IF(#REF!=5,"22-23/1",
IF(#REF!=6,"22-23/2",
IF(#REF!=7,"23-24/1",
IF(#REF!=8,"23-24/2","Hata3")))))))),
IF(#REF!+BM284=2021,
IF(#REF!=1,"21-22/1",
IF(#REF!=2,"21-22/2",
IF(#REF!=3,"22-23/1",
IF(#REF!=4,"22-23/2",
IF(#REF!=5,"23-24/1",
IF(#REF!=6,"23-24/2",
IF(#REF!=7,"24-25/1",
IF(#REF!=8,"24-25/2","Hata4")))))))),
IF(#REF!+BM284=2022,
IF(#REF!=1,"22-23/1",
IF(#REF!=2,"22-23/2",
IF(#REF!=3,"23-24/1",
IF(#REF!=4,"23-24/2",
IF(#REF!=5,"24-25/1",
IF(#REF!=6,"24-25/2",
IF(#REF!=7,"25-26/1",
IF(#REF!=8,"25-26/2","Hata5")))))))),
IF(#REF!+BM284=2023,
IF(#REF!=1,"23-24/1",
IF(#REF!=2,"23-24/2",
IF(#REF!=3,"24-25/1",
IF(#REF!=4,"24-25/2",
IF(#REF!=5,"25-26/1",
IF(#REF!=6,"25-26/2",
IF(#REF!=7,"26-27/1",
IF(#REF!=8,"26-27/2","Hata6")))))))),
)))))),
IF(BE284="T",
IF(#REF!+BM284=2018,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284" s="3">
        <v>0</v>
      </c>
      <c r="I284" s="1" t="s">
        <v>179</v>
      </c>
      <c r="L284" s="2">
        <v>3231</v>
      </c>
      <c r="N284" s="2">
        <v>5</v>
      </c>
      <c r="O284" s="6">
        <f t="shared" si="188"/>
        <v>3</v>
      </c>
      <c r="P284" s="2">
        <f t="shared" si="189"/>
        <v>3</v>
      </c>
      <c r="Q284" s="2">
        <v>0</v>
      </c>
      <c r="R284" s="2">
        <v>0</v>
      </c>
      <c r="S284" s="2">
        <v>3</v>
      </c>
      <c r="X284" s="3">
        <v>3</v>
      </c>
      <c r="Y284" s="1">
        <f>VLOOKUP(X284,[36]ölçme_sistemleri!I:L,2,FALSE)</f>
        <v>2</v>
      </c>
      <c r="Z284" s="1">
        <f>VLOOKUP(X284,[36]ölçme_sistemleri!I:L,3,FALSE)</f>
        <v>1</v>
      </c>
      <c r="AA284" s="1">
        <f>VLOOKUP(X284,[36]ölçme_sistemleri!I:L,4,FALSE)</f>
        <v>1</v>
      </c>
      <c r="AB284" s="1">
        <f>$O284*[36]ölçme_sistemleri!$J$13</f>
        <v>3</v>
      </c>
      <c r="AC284" s="1">
        <f>$O284*[36]ölçme_sistemleri!$K$13</f>
        <v>6</v>
      </c>
      <c r="AD284" s="1">
        <f>$O284*[36]ölçme_sistemleri!$L$13</f>
        <v>9</v>
      </c>
      <c r="AE284" s="1">
        <f t="shared" si="190"/>
        <v>6</v>
      </c>
      <c r="AF284" s="1">
        <f t="shared" si="191"/>
        <v>6</v>
      </c>
      <c r="AG284" s="1">
        <f t="shared" si="192"/>
        <v>9</v>
      </c>
      <c r="AH284" s="1">
        <f t="shared" si="193"/>
        <v>21</v>
      </c>
      <c r="AI284" s="1">
        <v>14</v>
      </c>
      <c r="AJ284" s="1">
        <f>VLOOKUP(X284,[36]ölçme_sistemleri!I:M,5,FALSE)</f>
        <v>3</v>
      </c>
      <c r="AK284" s="1">
        <f t="shared" si="194"/>
        <v>294</v>
      </c>
      <c r="AL284" s="1">
        <f>(Q284+S284)*AI284</f>
        <v>42</v>
      </c>
      <c r="AM284" s="1">
        <f>VLOOKUP(X284,[36]ölçme_sistemleri!I:N,6,FALSE)</f>
        <v>4</v>
      </c>
      <c r="AN284" s="1">
        <v>2</v>
      </c>
      <c r="AO284" s="1">
        <f t="shared" si="195"/>
        <v>8</v>
      </c>
      <c r="AP284" s="1">
        <v>14</v>
      </c>
      <c r="AQ284" s="1">
        <f t="shared" si="205"/>
        <v>42</v>
      </c>
      <c r="AR284" s="1">
        <f t="shared" si="196"/>
        <v>113</v>
      </c>
      <c r="AS284" s="1">
        <f t="shared" si="214"/>
        <v>25</v>
      </c>
      <c r="AT284" s="1">
        <f t="shared" si="197"/>
        <v>5</v>
      </c>
      <c r="AU284" s="1">
        <f t="shared" si="206"/>
        <v>0</v>
      </c>
      <c r="AV284" s="1">
        <f t="shared" si="207"/>
        <v>0</v>
      </c>
      <c r="AW284" s="1">
        <f t="shared" si="208"/>
        <v>0</v>
      </c>
      <c r="AX284" s="1">
        <f t="shared" si="209"/>
        <v>0</v>
      </c>
      <c r="AY284" s="1">
        <f t="shared" si="198"/>
        <v>-21</v>
      </c>
      <c r="AZ284" s="1">
        <f t="shared" si="210"/>
        <v>0</v>
      </c>
      <c r="BA284" s="1">
        <f t="shared" si="199"/>
        <v>-42</v>
      </c>
      <c r="BB284" s="1">
        <f t="shared" si="200"/>
        <v>0</v>
      </c>
      <c r="BC284" s="1">
        <f t="shared" si="201"/>
        <v>-8</v>
      </c>
      <c r="BD284" s="1">
        <f t="shared" si="202"/>
        <v>0</v>
      </c>
      <c r="BE284" s="1" t="s">
        <v>65</v>
      </c>
      <c r="BF284" s="1">
        <f t="shared" si="211"/>
        <v>42</v>
      </c>
      <c r="BG284" s="1">
        <f t="shared" si="203"/>
        <v>42</v>
      </c>
      <c r="BH284" s="1">
        <f t="shared" si="204"/>
        <v>1</v>
      </c>
      <c r="BI284" s="1" t="e">
        <f>IF(BH284-#REF!=0,"DOĞRU","YANLIŞ")</f>
        <v>#REF!</v>
      </c>
      <c r="BJ284" s="1" t="e">
        <f>#REF!-BH284</f>
        <v>#REF!</v>
      </c>
      <c r="BK284" s="1">
        <v>1</v>
      </c>
      <c r="BM284" s="1">
        <v>0</v>
      </c>
      <c r="BT284" s="8">
        <f t="shared" si="212"/>
        <v>0</v>
      </c>
      <c r="BU284" s="9"/>
      <c r="BV284" s="10"/>
      <c r="BW284" s="11"/>
      <c r="BX284" s="11"/>
      <c r="BY284" s="11"/>
      <c r="BZ284" s="11"/>
      <c r="CA284" s="11"/>
      <c r="CB284" s="12"/>
      <c r="CC284" s="13"/>
      <c r="CD284" s="14"/>
      <c r="CL284" s="11"/>
      <c r="CM284" s="11"/>
      <c r="CN284" s="11"/>
      <c r="CO284" s="11"/>
      <c r="CP284" s="11"/>
      <c r="CQ284" s="46"/>
      <c r="CR284" s="46"/>
      <c r="CS284" s="48"/>
      <c r="CT284" s="48"/>
      <c r="CU284" s="48"/>
      <c r="CV284" s="48"/>
      <c r="CW284" s="49"/>
      <c r="CX284" s="49"/>
    </row>
    <row r="285" spans="1:102" x14ac:dyDescent="0.25">
      <c r="A285" s="112" t="s">
        <v>144</v>
      </c>
      <c r="B285" s="112" t="s">
        <v>134</v>
      </c>
      <c r="C285" s="1" t="s">
        <v>134</v>
      </c>
      <c r="D285" s="2" t="s">
        <v>63</v>
      </c>
      <c r="E285" s="2" t="s">
        <v>63</v>
      </c>
      <c r="F285" s="3" t="e">
        <f>IF(BE285="S",
IF(#REF!+BM285=2018,
IF(#REF!=1,"18-19/1",
IF(#REF!=2,"18-19/2",
IF(#REF!=3,"19-20/1",
IF(#REF!=4,"19-20/2",
IF(#REF!=5,"20-21/1",
IF(#REF!=6,"20-21/2",
IF(#REF!=7,"21-22/1",
IF(#REF!=8,"21-22/2","Hata1")))))))),
IF(#REF!+BM285=2019,
IF(#REF!=1,"19-20/1",
IF(#REF!=2,"19-20/2",
IF(#REF!=3,"20-21/1",
IF(#REF!=4,"20-21/2",
IF(#REF!=5,"21-22/1",
IF(#REF!=6,"21-22/2",
IF(#REF!=7,"22-23/1",
IF(#REF!=8,"22-23/2","Hata2")))))))),
IF(#REF!+BM285=2020,
IF(#REF!=1,"20-21/1",
IF(#REF!=2,"20-21/2",
IF(#REF!=3,"21-22/1",
IF(#REF!=4,"21-22/2",
IF(#REF!=5,"22-23/1",
IF(#REF!=6,"22-23/2",
IF(#REF!=7,"23-24/1",
IF(#REF!=8,"23-24/2","Hata3")))))))),
IF(#REF!+BM285=2021,
IF(#REF!=1,"21-22/1",
IF(#REF!=2,"21-22/2",
IF(#REF!=3,"22-23/1",
IF(#REF!=4,"22-23/2",
IF(#REF!=5,"23-24/1",
IF(#REF!=6,"23-24/2",
IF(#REF!=7,"24-25/1",
IF(#REF!=8,"24-25/2","Hata4")))))))),
IF(#REF!+BM285=2022,
IF(#REF!=1,"22-23/1",
IF(#REF!=2,"22-23/2",
IF(#REF!=3,"23-24/1",
IF(#REF!=4,"23-24/2",
IF(#REF!=5,"24-25/1",
IF(#REF!=6,"24-25/2",
IF(#REF!=7,"25-26/1",
IF(#REF!=8,"25-26/2","Hata5")))))))),
IF(#REF!+BM285=2023,
IF(#REF!=1,"23-24/1",
IF(#REF!=2,"23-24/2",
IF(#REF!=3,"24-25/1",
IF(#REF!=4,"24-25/2",
IF(#REF!=5,"25-26/1",
IF(#REF!=6,"25-26/2",
IF(#REF!=7,"26-27/1",
IF(#REF!=8,"26-27/2","Hata6")))))))),
)))))),
IF(BE285="T",
IF(#REF!+BM285=2018,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5" s="112" t="s">
        <v>179</v>
      </c>
      <c r="L285" s="2">
        <v>3481</v>
      </c>
      <c r="N285" s="113">
        <v>7</v>
      </c>
      <c r="O285" s="89">
        <f t="shared" si="188"/>
        <v>6</v>
      </c>
      <c r="P285" s="2">
        <f t="shared" si="189"/>
        <v>6</v>
      </c>
      <c r="Q285" s="2">
        <v>4</v>
      </c>
      <c r="R285" s="2">
        <v>0</v>
      </c>
      <c r="S285" s="2">
        <v>2</v>
      </c>
      <c r="X285" s="90">
        <v>2</v>
      </c>
      <c r="Y285" s="1">
        <f>VLOOKUP(X285,[37]ölçme_sistemleri!I:L,2,FALSE)</f>
        <v>0</v>
      </c>
      <c r="Z285" s="1">
        <f>VLOOKUP(X285,[37]ölçme_sistemleri!I:L,3,FALSE)</f>
        <v>2</v>
      </c>
      <c r="AA285" s="1">
        <f>VLOOKUP(X285,[37]ölçme_sistemleri!I:L,4,FALSE)</f>
        <v>1</v>
      </c>
      <c r="AB285" s="1">
        <f>$O285*[37]ölçme_sistemleri!$J$13</f>
        <v>6</v>
      </c>
      <c r="AC285" s="1">
        <f>$O285*[37]ölçme_sistemleri!$K$13</f>
        <v>12</v>
      </c>
      <c r="AD285" s="1">
        <f>$O285*[37]ölçme_sistemleri!$L$13</f>
        <v>18</v>
      </c>
      <c r="AE285" s="1">
        <f t="shared" si="190"/>
        <v>0</v>
      </c>
      <c r="AF285" s="1">
        <f t="shared" si="191"/>
        <v>24</v>
      </c>
      <c r="AG285" s="1">
        <f t="shared" si="192"/>
        <v>18</v>
      </c>
      <c r="AH285" s="1">
        <f t="shared" si="193"/>
        <v>42</v>
      </c>
      <c r="AI285" s="1">
        <v>14</v>
      </c>
      <c r="AJ285" s="1">
        <f>VLOOKUP(X285,[37]ölçme_sistemleri!I:M,5,FALSE)</f>
        <v>2</v>
      </c>
      <c r="AK285" s="1">
        <f t="shared" si="194"/>
        <v>588</v>
      </c>
      <c r="AL285" s="1">
        <f>AI285*3</f>
        <v>42</v>
      </c>
      <c r="AM285" s="1">
        <f>VLOOKUP(X285,[37]ölçme_sistemleri!I:N,6,FALSE)</f>
        <v>3</v>
      </c>
      <c r="AN285" s="1">
        <v>2</v>
      </c>
      <c r="AO285" s="1">
        <f t="shared" si="195"/>
        <v>6</v>
      </c>
      <c r="AP285" s="1">
        <v>14</v>
      </c>
      <c r="AQ285" s="1">
        <f t="shared" si="205"/>
        <v>84</v>
      </c>
      <c r="AR285" s="1">
        <f t="shared" si="196"/>
        <v>174</v>
      </c>
      <c r="AS285" s="1">
        <f t="shared" si="214"/>
        <v>25</v>
      </c>
      <c r="AT285" s="1">
        <f t="shared" si="197"/>
        <v>7</v>
      </c>
      <c r="AU285" s="1">
        <f t="shared" si="206"/>
        <v>0</v>
      </c>
      <c r="AV285" s="1">
        <f t="shared" si="207"/>
        <v>0</v>
      </c>
      <c r="AW285" s="1">
        <f t="shared" si="208"/>
        <v>0</v>
      </c>
      <c r="AX285" s="1">
        <f t="shared" si="209"/>
        <v>0</v>
      </c>
      <c r="AY285" s="1">
        <f t="shared" si="198"/>
        <v>-42</v>
      </c>
      <c r="AZ285" s="1">
        <f t="shared" si="210"/>
        <v>0</v>
      </c>
      <c r="BA285" s="1">
        <f t="shared" si="199"/>
        <v>-42</v>
      </c>
      <c r="BB285" s="1">
        <f t="shared" si="200"/>
        <v>0</v>
      </c>
      <c r="BC285" s="1">
        <f t="shared" si="201"/>
        <v>-6</v>
      </c>
      <c r="BD285" s="1">
        <f t="shared" si="202"/>
        <v>0</v>
      </c>
      <c r="BE285" s="1" t="s">
        <v>65</v>
      </c>
      <c r="BF285" s="1">
        <f t="shared" si="211"/>
        <v>84</v>
      </c>
      <c r="BG285" s="1">
        <f t="shared" si="203"/>
        <v>84</v>
      </c>
      <c r="BH285" s="1">
        <f t="shared" si="204"/>
        <v>3</v>
      </c>
      <c r="BI285" s="1" t="e">
        <f>IF(BH285-#REF!=0,"DOĞRU","YANLIŞ")</f>
        <v>#REF!</v>
      </c>
      <c r="BJ285" s="1" t="e">
        <f>#REF!-BH285</f>
        <v>#REF!</v>
      </c>
      <c r="BK285" s="1">
        <v>1</v>
      </c>
      <c r="BM285" s="1">
        <v>0</v>
      </c>
      <c r="BT285" s="8">
        <f t="shared" si="212"/>
        <v>0</v>
      </c>
      <c r="BU285" s="9"/>
      <c r="BV285" s="10"/>
      <c r="BW285" s="11"/>
      <c r="BX285" s="11"/>
      <c r="BY285" s="11"/>
      <c r="BZ285" s="11"/>
      <c r="CA285" s="11"/>
      <c r="CB285" s="12"/>
      <c r="CC285" s="13"/>
      <c r="CD285" s="14"/>
      <c r="CL285" s="114"/>
      <c r="CM285" s="114"/>
      <c r="CN285" s="114"/>
      <c r="CO285" s="114"/>
      <c r="CP285" s="114" t="s">
        <v>442</v>
      </c>
      <c r="CQ285" s="111">
        <v>44324</v>
      </c>
      <c r="CR285" s="114" t="s">
        <v>529</v>
      </c>
      <c r="CS285" s="93">
        <v>44337</v>
      </c>
      <c r="CT285" s="86" t="s">
        <v>501</v>
      </c>
      <c r="CU285" s="48"/>
      <c r="CV285" s="48"/>
      <c r="CW285" s="49"/>
      <c r="CX285" s="49"/>
    </row>
    <row r="286" spans="1:102" hidden="1" x14ac:dyDescent="0.25">
      <c r="A286" s="1" t="s">
        <v>293</v>
      </c>
      <c r="B286" s="1" t="s">
        <v>294</v>
      </c>
      <c r="C286" s="1" t="s">
        <v>294</v>
      </c>
      <c r="D286" s="2" t="s">
        <v>63</v>
      </c>
      <c r="E286" s="2" t="s">
        <v>63</v>
      </c>
      <c r="F286" s="3" t="e">
        <f>IF(BE286="S",
IF(#REF!+BM286=2018,
IF(#REF!=1,"18-19/1",
IF(#REF!=2,"18-19/2",
IF(#REF!=3,"19-20/1",
IF(#REF!=4,"19-20/2",
IF(#REF!=5,"20-21/1",
IF(#REF!=6,"20-21/2",
IF(#REF!=7,"21-22/1",
IF(#REF!=8,"21-22/2","Hata1")))))))),
IF(#REF!+BM286=2019,
IF(#REF!=1,"19-20/1",
IF(#REF!=2,"19-20/2",
IF(#REF!=3,"20-21/1",
IF(#REF!=4,"20-21/2",
IF(#REF!=5,"21-22/1",
IF(#REF!=6,"21-22/2",
IF(#REF!=7,"22-23/1",
IF(#REF!=8,"22-23/2","Hata2")))))))),
IF(#REF!+BM286=2020,
IF(#REF!=1,"20-21/1",
IF(#REF!=2,"20-21/2",
IF(#REF!=3,"21-22/1",
IF(#REF!=4,"21-22/2",
IF(#REF!=5,"22-23/1",
IF(#REF!=6,"22-23/2",
IF(#REF!=7,"23-24/1",
IF(#REF!=8,"23-24/2","Hata3")))))))),
IF(#REF!+BM286=2021,
IF(#REF!=1,"21-22/1",
IF(#REF!=2,"21-22/2",
IF(#REF!=3,"22-23/1",
IF(#REF!=4,"22-23/2",
IF(#REF!=5,"23-24/1",
IF(#REF!=6,"23-24/2",
IF(#REF!=7,"24-25/1",
IF(#REF!=8,"24-25/2","Hata4")))))))),
IF(#REF!+BM286=2022,
IF(#REF!=1,"22-23/1",
IF(#REF!=2,"22-23/2",
IF(#REF!=3,"23-24/1",
IF(#REF!=4,"23-24/2",
IF(#REF!=5,"24-25/1",
IF(#REF!=6,"24-25/2",
IF(#REF!=7,"25-26/1",
IF(#REF!=8,"25-26/2","Hata5")))))))),
IF(#REF!+BM286=2023,
IF(#REF!=1,"23-24/1",
IF(#REF!=2,"23-24/2",
IF(#REF!=3,"24-25/1",
IF(#REF!=4,"24-25/2",
IF(#REF!=5,"25-26/1",
IF(#REF!=6,"25-26/2",
IF(#REF!=7,"26-27/1",
IF(#REF!=8,"26-27/2","Hata6")))))))),
)))))),
IF(BE286="T",
IF(#REF!+BM286=2018,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6" s="1" t="s">
        <v>179</v>
      </c>
      <c r="L286" s="2">
        <v>3228</v>
      </c>
      <c r="N286" s="2">
        <v>5</v>
      </c>
      <c r="O286" s="6">
        <f t="shared" si="188"/>
        <v>3</v>
      </c>
      <c r="P286" s="2">
        <f t="shared" si="189"/>
        <v>3</v>
      </c>
      <c r="Q286" s="2">
        <v>3</v>
      </c>
      <c r="R286" s="2">
        <v>0</v>
      </c>
      <c r="S286" s="2">
        <v>0</v>
      </c>
      <c r="X286" s="3">
        <v>3</v>
      </c>
      <c r="Y286" s="1">
        <f>VLOOKUP(X286,[36]ölçme_sistemleri!I:L,2,FALSE)</f>
        <v>2</v>
      </c>
      <c r="Z286" s="1">
        <f>VLOOKUP(X286,[36]ölçme_sistemleri!I:L,3,FALSE)</f>
        <v>1</v>
      </c>
      <c r="AA286" s="1">
        <f>VLOOKUP(X286,[36]ölçme_sistemleri!I:L,4,FALSE)</f>
        <v>1</v>
      </c>
      <c r="AB286" s="1">
        <f>$O286*[36]ölçme_sistemleri!$J$13</f>
        <v>3</v>
      </c>
      <c r="AC286" s="1">
        <f>$O286*[36]ölçme_sistemleri!$K$13</f>
        <v>6</v>
      </c>
      <c r="AD286" s="1">
        <f>$O286*[36]ölçme_sistemleri!$L$13</f>
        <v>9</v>
      </c>
      <c r="AE286" s="1">
        <f t="shared" si="190"/>
        <v>6</v>
      </c>
      <c r="AF286" s="1">
        <f t="shared" si="191"/>
        <v>6</v>
      </c>
      <c r="AG286" s="1">
        <f t="shared" si="192"/>
        <v>9</v>
      </c>
      <c r="AH286" s="1">
        <f t="shared" si="193"/>
        <v>21</v>
      </c>
      <c r="AI286" s="1">
        <v>14</v>
      </c>
      <c r="AJ286" s="1">
        <f>VLOOKUP(X286,[36]ölçme_sistemleri!I:M,5,FALSE)</f>
        <v>3</v>
      </c>
      <c r="AK286" s="1">
        <f t="shared" si="194"/>
        <v>294</v>
      </c>
      <c r="AL286" s="1">
        <f>(Q286+S286)*AI286</f>
        <v>42</v>
      </c>
      <c r="AM286" s="1">
        <f>VLOOKUP(X286,[36]ölçme_sistemleri!I:N,6,FALSE)</f>
        <v>4</v>
      </c>
      <c r="AN286" s="1">
        <v>2</v>
      </c>
      <c r="AO286" s="1">
        <f t="shared" si="195"/>
        <v>8</v>
      </c>
      <c r="AP286" s="1">
        <v>14</v>
      </c>
      <c r="AQ286" s="1">
        <f t="shared" si="205"/>
        <v>42</v>
      </c>
      <c r="AR286" s="1">
        <f t="shared" si="196"/>
        <v>113</v>
      </c>
      <c r="AS286" s="1">
        <f t="shared" si="214"/>
        <v>25</v>
      </c>
      <c r="AT286" s="1">
        <f t="shared" si="197"/>
        <v>5</v>
      </c>
      <c r="AU286" s="1">
        <f t="shared" si="206"/>
        <v>0</v>
      </c>
      <c r="AV286" s="1">
        <f t="shared" si="207"/>
        <v>0</v>
      </c>
      <c r="AW286" s="1">
        <f t="shared" si="208"/>
        <v>0</v>
      </c>
      <c r="AX286" s="1">
        <f t="shared" si="209"/>
        <v>0</v>
      </c>
      <c r="AY286" s="1">
        <f t="shared" si="198"/>
        <v>-21</v>
      </c>
      <c r="AZ286" s="1">
        <f t="shared" si="210"/>
        <v>0</v>
      </c>
      <c r="BA286" s="1">
        <f t="shared" si="199"/>
        <v>-42</v>
      </c>
      <c r="BB286" s="1">
        <f t="shared" si="200"/>
        <v>0</v>
      </c>
      <c r="BC286" s="1">
        <f t="shared" si="201"/>
        <v>-8</v>
      </c>
      <c r="BD286" s="1">
        <f t="shared" si="202"/>
        <v>0</v>
      </c>
      <c r="BE286" s="1" t="s">
        <v>65</v>
      </c>
      <c r="BF286" s="1">
        <f t="shared" si="211"/>
        <v>42</v>
      </c>
      <c r="BG286" s="1">
        <f t="shared" si="203"/>
        <v>42</v>
      </c>
      <c r="BH286" s="1">
        <f t="shared" si="204"/>
        <v>1</v>
      </c>
      <c r="BI286" s="1" t="e">
        <f>IF(BH286-#REF!=0,"DOĞRU","YANLIŞ")</f>
        <v>#REF!</v>
      </c>
      <c r="BJ286" s="1" t="e">
        <f>#REF!-BH286</f>
        <v>#REF!</v>
      </c>
      <c r="BK286" s="1">
        <v>0</v>
      </c>
      <c r="BM286" s="1">
        <v>0</v>
      </c>
      <c r="BT286" s="8">
        <f t="shared" si="212"/>
        <v>0</v>
      </c>
      <c r="BU286" s="9"/>
      <c r="BV286" s="10"/>
      <c r="BW286" s="11"/>
      <c r="BX286" s="11"/>
      <c r="BY286" s="11"/>
      <c r="BZ286" s="11"/>
      <c r="CA286" s="11"/>
      <c r="CB286" s="12"/>
      <c r="CC286" s="13"/>
      <c r="CD286" s="14"/>
      <c r="CL286" s="11"/>
      <c r="CM286" s="11"/>
      <c r="CN286" s="11"/>
      <c r="CO286" s="11"/>
      <c r="CP286" s="64"/>
      <c r="CQ286" s="54"/>
      <c r="CR286" s="46"/>
      <c r="CS286" s="48"/>
      <c r="CT286" s="48"/>
      <c r="CU286" s="48"/>
      <c r="CV286" s="48"/>
      <c r="CW286" s="49"/>
      <c r="CX286" s="49"/>
    </row>
    <row r="287" spans="1:102" hidden="1" x14ac:dyDescent="0.25">
      <c r="A287" s="1" t="s">
        <v>299</v>
      </c>
      <c r="B287" s="1" t="s">
        <v>300</v>
      </c>
      <c r="C287" s="1" t="s">
        <v>300</v>
      </c>
      <c r="D287" s="2" t="s">
        <v>58</v>
      </c>
      <c r="E287" s="2" t="s">
        <v>58</v>
      </c>
      <c r="F287" s="3" t="e">
        <f>IF(BE287="S",
IF(#REF!+BM287=2018,
IF(#REF!=1,"18-19/1",
IF(#REF!=2,"18-19/2",
IF(#REF!=3,"19-20/1",
IF(#REF!=4,"19-20/2",
IF(#REF!=5,"20-21/1",
IF(#REF!=6,"20-21/2",
IF(#REF!=7,"21-22/1",
IF(#REF!=8,"21-22/2","Hata1")))))))),
IF(#REF!+BM287=2019,
IF(#REF!=1,"19-20/1",
IF(#REF!=2,"19-20/2",
IF(#REF!=3,"20-21/1",
IF(#REF!=4,"20-21/2",
IF(#REF!=5,"21-22/1",
IF(#REF!=6,"21-22/2",
IF(#REF!=7,"22-23/1",
IF(#REF!=8,"22-23/2","Hata2")))))))),
IF(#REF!+BM287=2020,
IF(#REF!=1,"20-21/1",
IF(#REF!=2,"20-21/2",
IF(#REF!=3,"21-22/1",
IF(#REF!=4,"21-22/2",
IF(#REF!=5,"22-23/1",
IF(#REF!=6,"22-23/2",
IF(#REF!=7,"23-24/1",
IF(#REF!=8,"23-24/2","Hata3")))))))),
IF(#REF!+BM287=2021,
IF(#REF!=1,"21-22/1",
IF(#REF!=2,"21-22/2",
IF(#REF!=3,"22-23/1",
IF(#REF!=4,"22-23/2",
IF(#REF!=5,"23-24/1",
IF(#REF!=6,"23-24/2",
IF(#REF!=7,"24-25/1",
IF(#REF!=8,"24-25/2","Hata4")))))))),
IF(#REF!+BM287=2022,
IF(#REF!=1,"22-23/1",
IF(#REF!=2,"22-23/2",
IF(#REF!=3,"23-24/1",
IF(#REF!=4,"23-24/2",
IF(#REF!=5,"24-25/1",
IF(#REF!=6,"24-25/2",
IF(#REF!=7,"25-26/1",
IF(#REF!=8,"25-26/2","Hata5")))))))),
IF(#REF!+BM287=2023,
IF(#REF!=1,"23-24/1",
IF(#REF!=2,"23-24/2",
IF(#REF!=3,"24-25/1",
IF(#REF!=4,"24-25/2",
IF(#REF!=5,"25-26/1",
IF(#REF!=6,"25-26/2",
IF(#REF!=7,"26-27/1",
IF(#REF!=8,"26-27/2","Hata6")))))))),
)))))),
IF(BE287="T",
IF(#REF!+BM287=2018,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7" s="1" t="s">
        <v>179</v>
      </c>
      <c r="L287" s="2">
        <v>3229</v>
      </c>
      <c r="N287" s="2">
        <v>5</v>
      </c>
      <c r="O287" s="6">
        <f t="shared" si="188"/>
        <v>3</v>
      </c>
      <c r="P287" s="2">
        <f t="shared" si="189"/>
        <v>3</v>
      </c>
      <c r="Q287" s="2">
        <v>3</v>
      </c>
      <c r="R287" s="2">
        <v>0</v>
      </c>
      <c r="S287" s="2">
        <v>0</v>
      </c>
      <c r="X287" s="3">
        <v>3</v>
      </c>
      <c r="Y287" s="1">
        <f>VLOOKUP(X287,[36]ölçme_sistemleri!I:L,2,FALSE)</f>
        <v>2</v>
      </c>
      <c r="Z287" s="1">
        <f>VLOOKUP(X287,[36]ölçme_sistemleri!I:L,3,FALSE)</f>
        <v>1</v>
      </c>
      <c r="AA287" s="1">
        <f>VLOOKUP(X287,[36]ölçme_sistemleri!I:L,4,FALSE)</f>
        <v>1</v>
      </c>
      <c r="AB287" s="1">
        <f>$O287*[36]ölçme_sistemleri!$J$13</f>
        <v>3</v>
      </c>
      <c r="AC287" s="1">
        <f>$O287*[36]ölçme_sistemleri!$K$13</f>
        <v>6</v>
      </c>
      <c r="AD287" s="1">
        <f>$O287*[36]ölçme_sistemleri!$L$13</f>
        <v>9</v>
      </c>
      <c r="AE287" s="1">
        <f t="shared" si="190"/>
        <v>6</v>
      </c>
      <c r="AF287" s="1">
        <f t="shared" si="191"/>
        <v>6</v>
      </c>
      <c r="AG287" s="1">
        <f t="shared" si="192"/>
        <v>9</v>
      </c>
      <c r="AH287" s="1">
        <f t="shared" si="193"/>
        <v>21</v>
      </c>
      <c r="AI287" s="1">
        <v>14</v>
      </c>
      <c r="AJ287" s="1">
        <f>VLOOKUP(X287,[36]ölçme_sistemleri!I:M,5,FALSE)</f>
        <v>3</v>
      </c>
      <c r="AK287" s="1">
        <f t="shared" si="194"/>
        <v>294</v>
      </c>
      <c r="AL287" s="1">
        <f>(Q287+S287)*AI287</f>
        <v>42</v>
      </c>
      <c r="AM287" s="1">
        <f>VLOOKUP(X287,[36]ölçme_sistemleri!I:N,6,FALSE)</f>
        <v>4</v>
      </c>
      <c r="AN287" s="1">
        <v>2</v>
      </c>
      <c r="AO287" s="1">
        <f t="shared" si="195"/>
        <v>8</v>
      </c>
      <c r="AP287" s="1">
        <v>14</v>
      </c>
      <c r="AQ287" s="1">
        <f t="shared" si="205"/>
        <v>42</v>
      </c>
      <c r="AR287" s="1">
        <f t="shared" si="196"/>
        <v>113</v>
      </c>
      <c r="AS287" s="1">
        <f t="shared" si="214"/>
        <v>25</v>
      </c>
      <c r="AT287" s="1">
        <f t="shared" si="197"/>
        <v>5</v>
      </c>
      <c r="AU287" s="1">
        <f t="shared" si="206"/>
        <v>0</v>
      </c>
      <c r="AV287" s="1">
        <f t="shared" si="207"/>
        <v>0</v>
      </c>
      <c r="AW287" s="1">
        <f t="shared" si="208"/>
        <v>0</v>
      </c>
      <c r="AX287" s="1">
        <f t="shared" si="209"/>
        <v>0</v>
      </c>
      <c r="AY287" s="1">
        <f t="shared" si="198"/>
        <v>-21</v>
      </c>
      <c r="AZ287" s="1">
        <f t="shared" si="210"/>
        <v>0</v>
      </c>
      <c r="BA287" s="1">
        <f t="shared" si="199"/>
        <v>-42</v>
      </c>
      <c r="BB287" s="1">
        <f t="shared" si="200"/>
        <v>0</v>
      </c>
      <c r="BC287" s="1">
        <f t="shared" si="201"/>
        <v>-8</v>
      </c>
      <c r="BD287" s="1">
        <f t="shared" si="202"/>
        <v>0</v>
      </c>
      <c r="BE287" s="1" t="s">
        <v>65</v>
      </c>
      <c r="BF287" s="1">
        <f t="shared" si="211"/>
        <v>42</v>
      </c>
      <c r="BG287" s="1">
        <f t="shared" si="203"/>
        <v>42</v>
      </c>
      <c r="BH287" s="1">
        <f t="shared" si="204"/>
        <v>1</v>
      </c>
      <c r="BI287" s="1" t="e">
        <f>IF(BH287-#REF!=0,"DOĞRU","YANLIŞ")</f>
        <v>#REF!</v>
      </c>
      <c r="BJ287" s="1" t="e">
        <f>#REF!-BH287</f>
        <v>#REF!</v>
      </c>
      <c r="BK287" s="1">
        <v>0</v>
      </c>
      <c r="BM287" s="1">
        <v>0</v>
      </c>
      <c r="BT287" s="8">
        <f t="shared" si="212"/>
        <v>0</v>
      </c>
      <c r="BU287" s="9"/>
      <c r="BV287" s="10"/>
      <c r="BW287" s="11"/>
      <c r="BX287" s="11"/>
      <c r="BY287" s="11"/>
      <c r="BZ287" s="11"/>
      <c r="CA287" s="11"/>
      <c r="CB287" s="12"/>
      <c r="CC287" s="13"/>
      <c r="CD287" s="14"/>
      <c r="CL287" s="11"/>
      <c r="CM287" s="11"/>
      <c r="CN287" s="11"/>
      <c r="CO287" s="11"/>
      <c r="CP287" s="64"/>
      <c r="CQ287" s="65"/>
      <c r="CR287" s="66"/>
      <c r="CS287" s="48"/>
      <c r="CT287" s="48"/>
      <c r="CU287" s="48"/>
      <c r="CV287" s="48"/>
      <c r="CW287" s="49"/>
      <c r="CX287" s="49"/>
    </row>
    <row r="288" spans="1:102" hidden="1" x14ac:dyDescent="0.25">
      <c r="A288" s="1" t="s">
        <v>291</v>
      </c>
      <c r="B288" s="1" t="s">
        <v>292</v>
      </c>
      <c r="C288" s="1" t="s">
        <v>292</v>
      </c>
      <c r="D288" s="2" t="s">
        <v>63</v>
      </c>
      <c r="E288" s="2" t="s">
        <v>63</v>
      </c>
      <c r="F288" s="3" t="e">
        <f>IF(BE288="S",
IF(#REF!+BM288=2018,
IF(#REF!=1,"18-19/1",
IF(#REF!=2,"18-19/2",
IF(#REF!=3,"19-20/1",
IF(#REF!=4,"19-20/2",
IF(#REF!=5,"20-21/1",
IF(#REF!=6,"20-21/2",
IF(#REF!=7,"21-22/1",
IF(#REF!=8,"21-22/2","Hata1")))))))),
IF(#REF!+BM288=2019,
IF(#REF!=1,"19-20/1",
IF(#REF!=2,"19-20/2",
IF(#REF!=3,"20-21/1",
IF(#REF!=4,"20-21/2",
IF(#REF!=5,"21-22/1",
IF(#REF!=6,"21-22/2",
IF(#REF!=7,"22-23/1",
IF(#REF!=8,"22-23/2","Hata2")))))))),
IF(#REF!+BM288=2020,
IF(#REF!=1,"20-21/1",
IF(#REF!=2,"20-21/2",
IF(#REF!=3,"21-22/1",
IF(#REF!=4,"21-22/2",
IF(#REF!=5,"22-23/1",
IF(#REF!=6,"22-23/2",
IF(#REF!=7,"23-24/1",
IF(#REF!=8,"23-24/2","Hata3")))))))),
IF(#REF!+BM288=2021,
IF(#REF!=1,"21-22/1",
IF(#REF!=2,"21-22/2",
IF(#REF!=3,"22-23/1",
IF(#REF!=4,"22-23/2",
IF(#REF!=5,"23-24/1",
IF(#REF!=6,"23-24/2",
IF(#REF!=7,"24-25/1",
IF(#REF!=8,"24-25/2","Hata4")))))))),
IF(#REF!+BM288=2022,
IF(#REF!=1,"22-23/1",
IF(#REF!=2,"22-23/2",
IF(#REF!=3,"23-24/1",
IF(#REF!=4,"23-24/2",
IF(#REF!=5,"24-25/1",
IF(#REF!=6,"24-25/2",
IF(#REF!=7,"25-26/1",
IF(#REF!=8,"25-26/2","Hata5")))))))),
IF(#REF!+BM288=2023,
IF(#REF!=1,"23-24/1",
IF(#REF!=2,"23-24/2",
IF(#REF!=3,"24-25/1",
IF(#REF!=4,"24-25/2",
IF(#REF!=5,"25-26/1",
IF(#REF!=6,"25-26/2",
IF(#REF!=7,"26-27/1",
IF(#REF!=8,"26-27/2","Hata6")))))))),
)))))),
IF(BE288="T",
IF(#REF!+BM288=2018,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8" s="1" t="s">
        <v>179</v>
      </c>
      <c r="L288" s="2">
        <v>3483</v>
      </c>
      <c r="N288" s="2">
        <v>6</v>
      </c>
      <c r="O288" s="6">
        <f t="shared" si="188"/>
        <v>3</v>
      </c>
      <c r="P288" s="2">
        <f t="shared" si="189"/>
        <v>3</v>
      </c>
      <c r="Q288" s="2">
        <v>0</v>
      </c>
      <c r="R288" s="2">
        <v>0</v>
      </c>
      <c r="S288" s="2">
        <v>3</v>
      </c>
      <c r="X288" s="3">
        <v>2</v>
      </c>
      <c r="Y288" s="1">
        <f>VLOOKUP(X288,[37]ölçme_sistemleri!I:L,2,FALSE)</f>
        <v>0</v>
      </c>
      <c r="Z288" s="1">
        <f>VLOOKUP(X288,[37]ölçme_sistemleri!I:L,3,FALSE)</f>
        <v>2</v>
      </c>
      <c r="AA288" s="1">
        <f>VLOOKUP(X288,[37]ölçme_sistemleri!I:L,4,FALSE)</f>
        <v>1</v>
      </c>
      <c r="AB288" s="1">
        <f>$O288*[37]ölçme_sistemleri!$J$13</f>
        <v>3</v>
      </c>
      <c r="AC288" s="1">
        <f>$O288*[37]ölçme_sistemleri!$K$13</f>
        <v>6</v>
      </c>
      <c r="AD288" s="1">
        <f>$O288*[37]ölçme_sistemleri!$L$13</f>
        <v>9</v>
      </c>
      <c r="AE288" s="1">
        <f t="shared" si="190"/>
        <v>0</v>
      </c>
      <c r="AF288" s="1">
        <f t="shared" si="191"/>
        <v>12</v>
      </c>
      <c r="AG288" s="1">
        <f t="shared" si="192"/>
        <v>9</v>
      </c>
      <c r="AH288" s="1">
        <f t="shared" si="193"/>
        <v>21</v>
      </c>
      <c r="AI288" s="1">
        <v>14</v>
      </c>
      <c r="AJ288" s="1">
        <f>VLOOKUP(X288,[37]ölçme_sistemleri!I:M,5,FALSE)</f>
        <v>2</v>
      </c>
      <c r="AK288" s="1">
        <f t="shared" si="194"/>
        <v>294</v>
      </c>
      <c r="AL288" s="1">
        <f>AI288*6</f>
        <v>84</v>
      </c>
      <c r="AM288" s="1">
        <f>VLOOKUP(X288,[37]ölçme_sistemleri!I:N,6,FALSE)</f>
        <v>3</v>
      </c>
      <c r="AN288" s="1">
        <v>2</v>
      </c>
      <c r="AO288" s="1">
        <f t="shared" si="195"/>
        <v>6</v>
      </c>
      <c r="AP288" s="1">
        <v>14</v>
      </c>
      <c r="AQ288" s="1">
        <f t="shared" si="205"/>
        <v>42</v>
      </c>
      <c r="AR288" s="1">
        <f t="shared" si="196"/>
        <v>153</v>
      </c>
      <c r="AS288" s="1">
        <f t="shared" si="214"/>
        <v>25</v>
      </c>
      <c r="AT288" s="1">
        <f t="shared" si="197"/>
        <v>6</v>
      </c>
      <c r="AU288" s="1">
        <f t="shared" si="206"/>
        <v>0</v>
      </c>
      <c r="AV288" s="1">
        <f t="shared" si="207"/>
        <v>0</v>
      </c>
      <c r="AW288" s="1">
        <f t="shared" si="208"/>
        <v>0</v>
      </c>
      <c r="AX288" s="1">
        <f t="shared" si="209"/>
        <v>0</v>
      </c>
      <c r="AY288" s="1">
        <f t="shared" si="198"/>
        <v>-21</v>
      </c>
      <c r="AZ288" s="1">
        <f t="shared" si="210"/>
        <v>0</v>
      </c>
      <c r="BA288" s="1">
        <f t="shared" si="199"/>
        <v>-84</v>
      </c>
      <c r="BB288" s="1">
        <f t="shared" si="200"/>
        <v>0</v>
      </c>
      <c r="BC288" s="1">
        <f t="shared" si="201"/>
        <v>-6</v>
      </c>
      <c r="BD288" s="1">
        <f t="shared" si="202"/>
        <v>0</v>
      </c>
      <c r="BE288" s="1" t="s">
        <v>65</v>
      </c>
      <c r="BF288" s="1">
        <f t="shared" si="211"/>
        <v>42</v>
      </c>
      <c r="BG288" s="1">
        <f t="shared" si="203"/>
        <v>42</v>
      </c>
      <c r="BH288" s="1">
        <f t="shared" si="204"/>
        <v>1</v>
      </c>
      <c r="BI288" s="1" t="e">
        <f>IF(BH288-#REF!=0,"DOĞRU","YANLIŞ")</f>
        <v>#REF!</v>
      </c>
      <c r="BJ288" s="1" t="e">
        <f>#REF!-BH288</f>
        <v>#REF!</v>
      </c>
      <c r="BK288" s="1">
        <v>0</v>
      </c>
      <c r="BM288" s="1">
        <v>0</v>
      </c>
      <c r="BT288" s="8">
        <f t="shared" si="212"/>
        <v>0</v>
      </c>
      <c r="BU288" s="9"/>
      <c r="BV288" s="10"/>
      <c r="BW288" s="11"/>
      <c r="BX288" s="11"/>
      <c r="BY288" s="11"/>
      <c r="BZ288" s="11"/>
      <c r="CA288" s="11"/>
      <c r="CB288" s="12"/>
      <c r="CC288" s="13"/>
      <c r="CD288" s="14"/>
      <c r="CL288" s="11"/>
      <c r="CM288" s="11"/>
      <c r="CN288" s="11"/>
      <c r="CO288" s="11"/>
      <c r="CP288" s="64"/>
      <c r="CQ288" s="65"/>
      <c r="CR288" s="66"/>
      <c r="CS288" s="54"/>
      <c r="CT288" s="55"/>
      <c r="CU288" s="48"/>
      <c r="CV288" s="48"/>
      <c r="CW288" s="49"/>
      <c r="CX288" s="49"/>
    </row>
    <row r="289" spans="1:102" hidden="1" x14ac:dyDescent="0.25">
      <c r="A289" s="1" t="s">
        <v>289</v>
      </c>
      <c r="B289" s="1" t="s">
        <v>290</v>
      </c>
      <c r="C289" s="1" t="s">
        <v>290</v>
      </c>
      <c r="D289" s="2" t="s">
        <v>63</v>
      </c>
      <c r="E289" s="2" t="s">
        <v>63</v>
      </c>
      <c r="F289" s="3" t="e">
        <f>IF(BE289="S",
IF(#REF!+BM289=2018,
IF(#REF!=1,"18-19/1",
IF(#REF!=2,"18-19/2",
IF(#REF!=3,"19-20/1",
IF(#REF!=4,"19-20/2",
IF(#REF!=5,"20-21/1",
IF(#REF!=6,"20-21/2",
IF(#REF!=7,"21-22/1",
IF(#REF!=8,"21-22/2","Hata1")))))))),
IF(#REF!+BM289=2019,
IF(#REF!=1,"19-20/1",
IF(#REF!=2,"19-20/2",
IF(#REF!=3,"20-21/1",
IF(#REF!=4,"20-21/2",
IF(#REF!=5,"21-22/1",
IF(#REF!=6,"21-22/2",
IF(#REF!=7,"22-23/1",
IF(#REF!=8,"22-23/2","Hata2")))))))),
IF(#REF!+BM289=2020,
IF(#REF!=1,"20-21/1",
IF(#REF!=2,"20-21/2",
IF(#REF!=3,"21-22/1",
IF(#REF!=4,"21-22/2",
IF(#REF!=5,"22-23/1",
IF(#REF!=6,"22-23/2",
IF(#REF!=7,"23-24/1",
IF(#REF!=8,"23-24/2","Hata3")))))))),
IF(#REF!+BM289=2021,
IF(#REF!=1,"21-22/1",
IF(#REF!=2,"21-22/2",
IF(#REF!=3,"22-23/1",
IF(#REF!=4,"22-23/2",
IF(#REF!=5,"23-24/1",
IF(#REF!=6,"23-24/2",
IF(#REF!=7,"24-25/1",
IF(#REF!=8,"24-25/2","Hata4")))))))),
IF(#REF!+BM289=2022,
IF(#REF!=1,"22-23/1",
IF(#REF!=2,"22-23/2",
IF(#REF!=3,"23-24/1",
IF(#REF!=4,"23-24/2",
IF(#REF!=5,"24-25/1",
IF(#REF!=6,"24-25/2",
IF(#REF!=7,"25-26/1",
IF(#REF!=8,"25-26/2","Hata5")))))))),
IF(#REF!+BM289=2023,
IF(#REF!=1,"23-24/1",
IF(#REF!=2,"23-24/2",
IF(#REF!=3,"24-25/1",
IF(#REF!=4,"24-25/2",
IF(#REF!=5,"25-26/1",
IF(#REF!=6,"25-26/2",
IF(#REF!=7,"26-27/1",
IF(#REF!=8,"26-27/2","Hata6")))))))),
)))))),
IF(BE289="T",
IF(#REF!+BM289=2018,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IF(#REF!+BM289=2019,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IF(#REF!+BM289=2020,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IF(#REF!+BM289=2021,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IF(#REF!+BM289=2022,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IF(#REF!+BM289=2023,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89" s="1" t="s">
        <v>179</v>
      </c>
      <c r="L289" s="2">
        <v>3216</v>
      </c>
      <c r="N289" s="2">
        <v>4</v>
      </c>
      <c r="O289" s="6">
        <f t="shared" si="188"/>
        <v>3</v>
      </c>
      <c r="P289" s="2">
        <f t="shared" si="189"/>
        <v>3</v>
      </c>
      <c r="Q289" s="2">
        <v>3</v>
      </c>
      <c r="R289" s="2">
        <v>0</v>
      </c>
      <c r="S289" s="2">
        <v>0</v>
      </c>
      <c r="X289" s="45">
        <v>4</v>
      </c>
      <c r="Y289" s="1">
        <f>VLOOKUP(X289,[37]ölçme_sistemleri!I:L,2,FALSE)</f>
        <v>0</v>
      </c>
      <c r="Z289" s="1">
        <f>VLOOKUP(X289,[37]ölçme_sistemleri!I:L,3,FALSE)</f>
        <v>1</v>
      </c>
      <c r="AA289" s="1">
        <f>VLOOKUP(X289,[37]ölçme_sistemleri!I:L,4,FALSE)</f>
        <v>1</v>
      </c>
      <c r="AB289" s="1">
        <f>$O289*[37]ölçme_sistemleri!$J$13</f>
        <v>3</v>
      </c>
      <c r="AC289" s="1">
        <f>$O289*[37]ölçme_sistemleri!$K$13</f>
        <v>6</v>
      </c>
      <c r="AD289" s="1">
        <f>$O289*[37]ölçme_sistemleri!$L$13</f>
        <v>9</v>
      </c>
      <c r="AE289" s="1">
        <f t="shared" si="190"/>
        <v>0</v>
      </c>
      <c r="AF289" s="1">
        <f t="shared" si="191"/>
        <v>6</v>
      </c>
      <c r="AG289" s="1">
        <f t="shared" si="192"/>
        <v>9</v>
      </c>
      <c r="AH289" s="1">
        <f t="shared" si="193"/>
        <v>15</v>
      </c>
      <c r="AI289" s="1">
        <v>14</v>
      </c>
      <c r="AJ289" s="1">
        <f>VLOOKUP(X289,[37]ölçme_sistemleri!I:M,5,FALSE)</f>
        <v>1</v>
      </c>
      <c r="AK289" s="1">
        <f t="shared" si="194"/>
        <v>210</v>
      </c>
      <c r="AL289" s="1">
        <f>(Q289+S289)*AI289</f>
        <v>42</v>
      </c>
      <c r="AM289" s="1">
        <f>VLOOKUP(X289,[37]ölçme_sistemleri!I:N,6,FALSE)</f>
        <v>2</v>
      </c>
      <c r="AN289" s="1">
        <v>2</v>
      </c>
      <c r="AO289" s="1">
        <f t="shared" si="195"/>
        <v>4</v>
      </c>
      <c r="AP289" s="1">
        <v>14</v>
      </c>
      <c r="AQ289" s="1">
        <f t="shared" si="205"/>
        <v>42</v>
      </c>
      <c r="AR289" s="1">
        <f t="shared" si="196"/>
        <v>103</v>
      </c>
      <c r="AS289" s="1">
        <f t="shared" si="214"/>
        <v>25</v>
      </c>
      <c r="AT289" s="1">
        <f t="shared" si="197"/>
        <v>4</v>
      </c>
      <c r="AU289" s="1">
        <f t="shared" si="206"/>
        <v>0</v>
      </c>
      <c r="AV289" s="1">
        <f t="shared" si="207"/>
        <v>0</v>
      </c>
      <c r="AW289" s="1">
        <f t="shared" si="208"/>
        <v>0</v>
      </c>
      <c r="AX289" s="1">
        <f t="shared" si="209"/>
        <v>0</v>
      </c>
      <c r="AY289" s="1">
        <f t="shared" si="198"/>
        <v>-15</v>
      </c>
      <c r="AZ289" s="1">
        <f t="shared" si="210"/>
        <v>0</v>
      </c>
      <c r="BA289" s="1">
        <f t="shared" si="199"/>
        <v>-42</v>
      </c>
      <c r="BB289" s="1">
        <f t="shared" si="200"/>
        <v>0</v>
      </c>
      <c r="BC289" s="1">
        <f t="shared" si="201"/>
        <v>-4</v>
      </c>
      <c r="BD289" s="1">
        <f t="shared" si="202"/>
        <v>0</v>
      </c>
      <c r="BE289" s="1" t="s">
        <v>65</v>
      </c>
      <c r="BF289" s="1">
        <f t="shared" si="211"/>
        <v>42</v>
      </c>
      <c r="BG289" s="1">
        <f t="shared" si="203"/>
        <v>42</v>
      </c>
      <c r="BH289" s="1">
        <f t="shared" si="204"/>
        <v>1</v>
      </c>
      <c r="BI289" s="1" t="e">
        <f>IF(BH289-#REF!=0,"DOĞRU","YANLIŞ")</f>
        <v>#REF!</v>
      </c>
      <c r="BJ289" s="1" t="e">
        <f>#REF!-BH289</f>
        <v>#REF!</v>
      </c>
      <c r="BK289" s="1">
        <v>0</v>
      </c>
      <c r="BM289" s="1">
        <v>0</v>
      </c>
      <c r="BT289" s="8">
        <f t="shared" si="212"/>
        <v>0</v>
      </c>
      <c r="BU289" s="9"/>
      <c r="BV289" s="10"/>
      <c r="BW289" s="11"/>
      <c r="BX289" s="11"/>
      <c r="BY289" s="11"/>
      <c r="BZ289" s="11"/>
      <c r="CA289" s="11"/>
      <c r="CB289" s="12"/>
      <c r="CC289" s="13"/>
      <c r="CD289" s="14"/>
      <c r="CL289" s="11"/>
      <c r="CM289" s="11"/>
      <c r="CN289" s="11"/>
      <c r="CO289" s="64"/>
      <c r="CP289" s="64"/>
      <c r="CQ289" s="65"/>
      <c r="CR289" s="66"/>
      <c r="CS289" s="54"/>
      <c r="CT289" s="55"/>
      <c r="CU289" s="48"/>
      <c r="CV289" s="48"/>
      <c r="CW289" s="49"/>
      <c r="CX289" s="49"/>
    </row>
    <row r="290" spans="1:102" hidden="1" x14ac:dyDescent="0.25">
      <c r="A290" s="1" t="s">
        <v>287</v>
      </c>
      <c r="B290" s="1" t="s">
        <v>288</v>
      </c>
      <c r="C290" s="1" t="s">
        <v>288</v>
      </c>
      <c r="D290" s="2" t="s">
        <v>63</v>
      </c>
      <c r="E290" s="2" t="s">
        <v>63</v>
      </c>
      <c r="F290" s="3" t="e">
        <f>IF(BE290="S",
IF(#REF!+BM290=2018,
IF(#REF!=1,"18-19/1",
IF(#REF!=2,"18-19/2",
IF(#REF!=3,"19-20/1",
IF(#REF!=4,"19-20/2",
IF(#REF!=5,"20-21/1",
IF(#REF!=6,"20-21/2",
IF(#REF!=7,"21-22/1",
IF(#REF!=8,"21-22/2","Hata1")))))))),
IF(#REF!+BM290=2019,
IF(#REF!=1,"19-20/1",
IF(#REF!=2,"19-20/2",
IF(#REF!=3,"20-21/1",
IF(#REF!=4,"20-21/2",
IF(#REF!=5,"21-22/1",
IF(#REF!=6,"21-22/2",
IF(#REF!=7,"22-23/1",
IF(#REF!=8,"22-23/2","Hata2")))))))),
IF(#REF!+BM290=2020,
IF(#REF!=1,"20-21/1",
IF(#REF!=2,"20-21/2",
IF(#REF!=3,"21-22/1",
IF(#REF!=4,"21-22/2",
IF(#REF!=5,"22-23/1",
IF(#REF!=6,"22-23/2",
IF(#REF!=7,"23-24/1",
IF(#REF!=8,"23-24/2","Hata3")))))))),
IF(#REF!+BM290=2021,
IF(#REF!=1,"21-22/1",
IF(#REF!=2,"21-22/2",
IF(#REF!=3,"22-23/1",
IF(#REF!=4,"22-23/2",
IF(#REF!=5,"23-24/1",
IF(#REF!=6,"23-24/2",
IF(#REF!=7,"24-25/1",
IF(#REF!=8,"24-25/2","Hata4")))))))),
IF(#REF!+BM290=2022,
IF(#REF!=1,"22-23/1",
IF(#REF!=2,"22-23/2",
IF(#REF!=3,"23-24/1",
IF(#REF!=4,"23-24/2",
IF(#REF!=5,"24-25/1",
IF(#REF!=6,"24-25/2",
IF(#REF!=7,"25-26/1",
IF(#REF!=8,"25-26/2","Hata5")))))))),
IF(#REF!+BM290=2023,
IF(#REF!=1,"23-24/1",
IF(#REF!=2,"23-24/2",
IF(#REF!=3,"24-25/1",
IF(#REF!=4,"24-25/2",
IF(#REF!=5,"25-26/1",
IF(#REF!=6,"25-26/2",
IF(#REF!=7,"26-27/1",
IF(#REF!=8,"26-27/2","Hata6")))))))),
)))))),
IF(BE290="T",
IF(#REF!+BM290=2018,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0" s="1" t="s">
        <v>179</v>
      </c>
      <c r="L290" s="2">
        <v>3215</v>
      </c>
      <c r="N290" s="2">
        <v>5</v>
      </c>
      <c r="O290" s="6">
        <f t="shared" si="188"/>
        <v>3</v>
      </c>
      <c r="P290" s="2">
        <f t="shared" si="189"/>
        <v>3</v>
      </c>
      <c r="Q290" s="2">
        <v>3</v>
      </c>
      <c r="R290" s="2">
        <v>0</v>
      </c>
      <c r="S290" s="2">
        <v>0</v>
      </c>
      <c r="X290" s="3">
        <v>3</v>
      </c>
      <c r="Y290" s="1">
        <f>VLOOKUP(X290,[37]ölçme_sistemleri!I:L,2,FALSE)</f>
        <v>2</v>
      </c>
      <c r="Z290" s="1">
        <f>VLOOKUP(X290,[37]ölçme_sistemleri!I:L,3,FALSE)</f>
        <v>1</v>
      </c>
      <c r="AA290" s="1">
        <f>VLOOKUP(X290,[37]ölçme_sistemleri!I:L,4,FALSE)</f>
        <v>1</v>
      </c>
      <c r="AB290" s="1">
        <f>$O290*[37]ölçme_sistemleri!$J$13</f>
        <v>3</v>
      </c>
      <c r="AC290" s="1">
        <f>$O290*[37]ölçme_sistemleri!$K$13</f>
        <v>6</v>
      </c>
      <c r="AD290" s="1">
        <f>$O290*[37]ölçme_sistemleri!$L$13</f>
        <v>9</v>
      </c>
      <c r="AE290" s="1">
        <f t="shared" si="190"/>
        <v>6</v>
      </c>
      <c r="AF290" s="1">
        <f t="shared" si="191"/>
        <v>6</v>
      </c>
      <c r="AG290" s="1">
        <f t="shared" si="192"/>
        <v>9</v>
      </c>
      <c r="AH290" s="1">
        <f t="shared" si="193"/>
        <v>21</v>
      </c>
      <c r="AI290" s="1">
        <v>14</v>
      </c>
      <c r="AJ290" s="1">
        <f>VLOOKUP(X290,[37]ölçme_sistemleri!I:M,5,FALSE)</f>
        <v>3</v>
      </c>
      <c r="AK290" s="1">
        <f t="shared" si="194"/>
        <v>294</v>
      </c>
      <c r="AL290" s="1">
        <f>(Q290+S290)*AI290</f>
        <v>42</v>
      </c>
      <c r="AM290" s="1">
        <f>VLOOKUP(X290,[37]ölçme_sistemleri!I:N,6,FALSE)</f>
        <v>4</v>
      </c>
      <c r="AN290" s="1">
        <v>2</v>
      </c>
      <c r="AO290" s="1">
        <f t="shared" si="195"/>
        <v>8</v>
      </c>
      <c r="AP290" s="1">
        <v>14</v>
      </c>
      <c r="AQ290" s="1">
        <f t="shared" si="205"/>
        <v>42</v>
      </c>
      <c r="AR290" s="1">
        <f t="shared" si="196"/>
        <v>113</v>
      </c>
      <c r="AS290" s="1">
        <f t="shared" si="214"/>
        <v>25</v>
      </c>
      <c r="AT290" s="1">
        <f t="shared" si="197"/>
        <v>5</v>
      </c>
      <c r="AU290" s="1">
        <f t="shared" si="206"/>
        <v>0</v>
      </c>
      <c r="AV290" s="1">
        <f t="shared" si="207"/>
        <v>0</v>
      </c>
      <c r="AW290" s="1">
        <f t="shared" si="208"/>
        <v>0</v>
      </c>
      <c r="AX290" s="1">
        <f t="shared" si="209"/>
        <v>0</v>
      </c>
      <c r="AY290" s="1">
        <f t="shared" si="198"/>
        <v>-21</v>
      </c>
      <c r="AZ290" s="1">
        <f t="shared" si="210"/>
        <v>0</v>
      </c>
      <c r="BA290" s="1">
        <f t="shared" si="199"/>
        <v>-42</v>
      </c>
      <c r="BB290" s="1">
        <f t="shared" si="200"/>
        <v>0</v>
      </c>
      <c r="BC290" s="1">
        <f t="shared" si="201"/>
        <v>-8</v>
      </c>
      <c r="BD290" s="1">
        <f t="shared" si="202"/>
        <v>0</v>
      </c>
      <c r="BE290" s="1" t="s">
        <v>65</v>
      </c>
      <c r="BF290" s="1">
        <f t="shared" si="211"/>
        <v>42</v>
      </c>
      <c r="BG290" s="1">
        <f t="shared" si="203"/>
        <v>42</v>
      </c>
      <c r="BH290" s="1">
        <f t="shared" si="204"/>
        <v>1</v>
      </c>
      <c r="BI290" s="1" t="e">
        <f>IF(BH290-#REF!=0,"DOĞRU","YANLIŞ")</f>
        <v>#REF!</v>
      </c>
      <c r="BJ290" s="1" t="e">
        <f>#REF!-BH290</f>
        <v>#REF!</v>
      </c>
      <c r="BK290" s="1">
        <v>0</v>
      </c>
      <c r="BM290" s="1">
        <v>0</v>
      </c>
      <c r="BT290" s="8">
        <f t="shared" si="212"/>
        <v>0</v>
      </c>
      <c r="BU290" s="9"/>
      <c r="BV290" s="10"/>
      <c r="BW290" s="11"/>
      <c r="BX290" s="11"/>
      <c r="BY290" s="11"/>
      <c r="BZ290" s="11"/>
      <c r="CA290" s="11"/>
      <c r="CB290" s="12"/>
      <c r="CC290" s="13"/>
      <c r="CD290" s="14"/>
      <c r="CL290" s="11"/>
      <c r="CM290" s="11"/>
      <c r="CN290" s="11"/>
      <c r="CO290" s="11"/>
      <c r="CP290" s="11"/>
      <c r="CQ290" s="49"/>
      <c r="CR290" s="46"/>
      <c r="CS290" s="48"/>
      <c r="CT290" s="48"/>
      <c r="CU290" s="48"/>
      <c r="CV290" s="48"/>
      <c r="CW290" s="49"/>
      <c r="CX290" s="49"/>
    </row>
    <row r="291" spans="1:102" hidden="1" x14ac:dyDescent="0.25">
      <c r="A291" s="1" t="s">
        <v>297</v>
      </c>
      <c r="B291" s="1" t="s">
        <v>298</v>
      </c>
      <c r="C291" s="1" t="s">
        <v>298</v>
      </c>
      <c r="D291" s="2" t="s">
        <v>63</v>
      </c>
      <c r="E291" s="2" t="s">
        <v>63</v>
      </c>
      <c r="F291" s="3" t="e">
        <f>IF(BE291="S",
IF(#REF!+BM291=2018,
IF(#REF!=1,"18-19/1",
IF(#REF!=2,"18-19/2",
IF(#REF!=3,"19-20/1",
IF(#REF!=4,"19-20/2",
IF(#REF!=5,"20-21/1",
IF(#REF!=6,"20-21/2",
IF(#REF!=7,"21-22/1",
IF(#REF!=8,"21-22/2","Hata1")))))))),
IF(#REF!+BM291=2019,
IF(#REF!=1,"19-20/1",
IF(#REF!=2,"19-20/2",
IF(#REF!=3,"20-21/1",
IF(#REF!=4,"20-21/2",
IF(#REF!=5,"21-22/1",
IF(#REF!=6,"21-22/2",
IF(#REF!=7,"22-23/1",
IF(#REF!=8,"22-23/2","Hata2")))))))),
IF(#REF!+BM291=2020,
IF(#REF!=1,"20-21/1",
IF(#REF!=2,"20-21/2",
IF(#REF!=3,"21-22/1",
IF(#REF!=4,"21-22/2",
IF(#REF!=5,"22-23/1",
IF(#REF!=6,"22-23/2",
IF(#REF!=7,"23-24/1",
IF(#REF!=8,"23-24/2","Hata3")))))))),
IF(#REF!+BM291=2021,
IF(#REF!=1,"21-22/1",
IF(#REF!=2,"21-22/2",
IF(#REF!=3,"22-23/1",
IF(#REF!=4,"22-23/2",
IF(#REF!=5,"23-24/1",
IF(#REF!=6,"23-24/2",
IF(#REF!=7,"24-25/1",
IF(#REF!=8,"24-25/2","Hata4")))))))),
IF(#REF!+BM291=2022,
IF(#REF!=1,"22-23/1",
IF(#REF!=2,"22-23/2",
IF(#REF!=3,"23-24/1",
IF(#REF!=4,"23-24/2",
IF(#REF!=5,"24-25/1",
IF(#REF!=6,"24-25/2",
IF(#REF!=7,"25-26/1",
IF(#REF!=8,"25-26/2","Hata5")))))))),
IF(#REF!+BM291=2023,
IF(#REF!=1,"23-24/1",
IF(#REF!=2,"23-24/2",
IF(#REF!=3,"24-25/1",
IF(#REF!=4,"24-25/2",
IF(#REF!=5,"25-26/1",
IF(#REF!=6,"25-26/2",
IF(#REF!=7,"26-27/1",
IF(#REF!=8,"26-27/2","Hata6")))))))),
)))))),
IF(BE291="T",
IF(#REF!+BM291=2018,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1" s="1" t="s">
        <v>179</v>
      </c>
      <c r="L291" s="2">
        <v>3227</v>
      </c>
      <c r="N291" s="2">
        <v>6</v>
      </c>
      <c r="O291" s="6">
        <f t="shared" si="188"/>
        <v>3</v>
      </c>
      <c r="P291" s="2">
        <f t="shared" si="189"/>
        <v>3</v>
      </c>
      <c r="Q291" s="2">
        <v>3</v>
      </c>
      <c r="R291" s="2">
        <v>0</v>
      </c>
      <c r="S291" s="2">
        <v>0</v>
      </c>
      <c r="X291" s="3">
        <v>2</v>
      </c>
      <c r="Y291" s="1">
        <f>VLOOKUP(X291,[36]ölçme_sistemleri!I:L,2,FALSE)</f>
        <v>0</v>
      </c>
      <c r="Z291" s="1">
        <f>VLOOKUP(X291,[36]ölçme_sistemleri!I:L,3,FALSE)</f>
        <v>2</v>
      </c>
      <c r="AA291" s="1">
        <f>VLOOKUP(X291,[36]ölçme_sistemleri!I:L,4,FALSE)</f>
        <v>1</v>
      </c>
      <c r="AB291" s="1">
        <f>$O291*[36]ölçme_sistemleri!$J$13</f>
        <v>3</v>
      </c>
      <c r="AC291" s="1">
        <f>$O291*[36]ölçme_sistemleri!$K$13</f>
        <v>6</v>
      </c>
      <c r="AD291" s="1">
        <f>$O291*[36]ölçme_sistemleri!$L$13</f>
        <v>9</v>
      </c>
      <c r="AE291" s="1">
        <f t="shared" si="190"/>
        <v>0</v>
      </c>
      <c r="AF291" s="1">
        <f t="shared" si="191"/>
        <v>12</v>
      </c>
      <c r="AG291" s="1">
        <f t="shared" si="192"/>
        <v>9</v>
      </c>
      <c r="AH291" s="1">
        <f t="shared" si="193"/>
        <v>21</v>
      </c>
      <c r="AI291" s="1">
        <v>14</v>
      </c>
      <c r="AJ291" s="1">
        <f>VLOOKUP(X291,[36]ölçme_sistemleri!I:M,5,FALSE)</f>
        <v>2</v>
      </c>
      <c r="AK291" s="1">
        <f t="shared" si="194"/>
        <v>294</v>
      </c>
      <c r="AL291" s="1">
        <f>AI291*5</f>
        <v>70</v>
      </c>
      <c r="AM291" s="1">
        <f>VLOOKUP(X291,[36]ölçme_sistemleri!I:N,6,FALSE)</f>
        <v>3</v>
      </c>
      <c r="AN291" s="1">
        <v>2</v>
      </c>
      <c r="AO291" s="1">
        <f t="shared" si="195"/>
        <v>6</v>
      </c>
      <c r="AP291" s="1">
        <v>14</v>
      </c>
      <c r="AQ291" s="1">
        <f t="shared" si="205"/>
        <v>42</v>
      </c>
      <c r="AR291" s="1">
        <f t="shared" si="196"/>
        <v>139</v>
      </c>
      <c r="AS291" s="1">
        <f t="shared" si="214"/>
        <v>25</v>
      </c>
      <c r="AT291" s="1">
        <f t="shared" si="197"/>
        <v>6</v>
      </c>
      <c r="AU291" s="1">
        <f t="shared" si="206"/>
        <v>0</v>
      </c>
      <c r="AV291" s="1">
        <f t="shared" si="207"/>
        <v>0</v>
      </c>
      <c r="AW291" s="1">
        <f t="shared" si="208"/>
        <v>0</v>
      </c>
      <c r="AX291" s="1">
        <f t="shared" si="209"/>
        <v>0</v>
      </c>
      <c r="AY291" s="1">
        <f t="shared" si="198"/>
        <v>-21</v>
      </c>
      <c r="AZ291" s="1">
        <f t="shared" si="210"/>
        <v>0</v>
      </c>
      <c r="BA291" s="1">
        <f t="shared" si="199"/>
        <v>-70</v>
      </c>
      <c r="BB291" s="1">
        <f t="shared" si="200"/>
        <v>0</v>
      </c>
      <c r="BC291" s="1">
        <f t="shared" si="201"/>
        <v>-6</v>
      </c>
      <c r="BD291" s="1">
        <f t="shared" si="202"/>
        <v>0</v>
      </c>
      <c r="BE291" s="1" t="s">
        <v>65</v>
      </c>
      <c r="BF291" s="1">
        <f t="shared" si="211"/>
        <v>42</v>
      </c>
      <c r="BG291" s="1">
        <f t="shared" si="203"/>
        <v>42</v>
      </c>
      <c r="BH291" s="1">
        <f t="shared" si="204"/>
        <v>1</v>
      </c>
      <c r="BI291" s="1" t="e">
        <f>IF(BH291-#REF!=0,"DOĞRU","YANLIŞ")</f>
        <v>#REF!</v>
      </c>
      <c r="BJ291" s="1" t="e">
        <f>#REF!-BH291</f>
        <v>#REF!</v>
      </c>
      <c r="BK291" s="1">
        <v>0</v>
      </c>
      <c r="BM291" s="1">
        <v>0</v>
      </c>
      <c r="BT291" s="8">
        <f t="shared" si="212"/>
        <v>0</v>
      </c>
      <c r="BU291" s="9"/>
      <c r="BV291" s="10"/>
      <c r="BW291" s="11"/>
      <c r="BX291" s="11"/>
      <c r="BY291" s="11"/>
      <c r="BZ291" s="11"/>
      <c r="CA291" s="11"/>
      <c r="CB291" s="12"/>
      <c r="CC291" s="13"/>
      <c r="CD291" s="14"/>
      <c r="CL291" s="11"/>
      <c r="CM291" s="11"/>
      <c r="CN291" s="11"/>
      <c r="CO291" s="11"/>
      <c r="CP291" s="11"/>
      <c r="CQ291" s="46"/>
      <c r="CR291" s="46"/>
      <c r="CS291" s="48"/>
      <c r="CT291" s="48"/>
      <c r="CU291" s="48"/>
      <c r="CV291" s="48"/>
      <c r="CW291" s="49"/>
      <c r="CX291" s="49"/>
    </row>
    <row r="292" spans="1:102" hidden="1" x14ac:dyDescent="0.25">
      <c r="A292" s="1" t="s">
        <v>146</v>
      </c>
      <c r="B292" s="1" t="s">
        <v>147</v>
      </c>
      <c r="C292" s="1" t="s">
        <v>147</v>
      </c>
      <c r="D292" s="2" t="s">
        <v>63</v>
      </c>
      <c r="E292" s="2" t="s">
        <v>63</v>
      </c>
      <c r="F292" s="3" t="e">
        <f>IF(BE292="S",
IF(#REF!+BM292=2018,
IF(#REF!=1,"18-19/1",
IF(#REF!=2,"18-19/2",
IF(#REF!=3,"19-20/1",
IF(#REF!=4,"19-20/2",
IF(#REF!=5,"20-21/1",
IF(#REF!=6,"20-21/2",
IF(#REF!=7,"21-22/1",
IF(#REF!=8,"21-22/2","Hata1")))))))),
IF(#REF!+BM292=2019,
IF(#REF!=1,"19-20/1",
IF(#REF!=2,"19-20/2",
IF(#REF!=3,"20-21/1",
IF(#REF!=4,"20-21/2",
IF(#REF!=5,"21-22/1",
IF(#REF!=6,"21-22/2",
IF(#REF!=7,"22-23/1",
IF(#REF!=8,"22-23/2","Hata2")))))))),
IF(#REF!+BM292=2020,
IF(#REF!=1,"20-21/1",
IF(#REF!=2,"20-21/2",
IF(#REF!=3,"21-22/1",
IF(#REF!=4,"21-22/2",
IF(#REF!=5,"22-23/1",
IF(#REF!=6,"22-23/2",
IF(#REF!=7,"23-24/1",
IF(#REF!=8,"23-24/2","Hata3")))))))),
IF(#REF!+BM292=2021,
IF(#REF!=1,"21-22/1",
IF(#REF!=2,"21-22/2",
IF(#REF!=3,"22-23/1",
IF(#REF!=4,"22-23/2",
IF(#REF!=5,"23-24/1",
IF(#REF!=6,"23-24/2",
IF(#REF!=7,"24-25/1",
IF(#REF!=8,"24-25/2","Hata4")))))))),
IF(#REF!+BM292=2022,
IF(#REF!=1,"22-23/1",
IF(#REF!=2,"22-23/2",
IF(#REF!=3,"23-24/1",
IF(#REF!=4,"23-24/2",
IF(#REF!=5,"24-25/1",
IF(#REF!=6,"24-25/2",
IF(#REF!=7,"25-26/1",
IF(#REF!=8,"25-26/2","Hata5")))))))),
IF(#REF!+BM292=2023,
IF(#REF!=1,"23-24/1",
IF(#REF!=2,"23-24/2",
IF(#REF!=3,"24-25/1",
IF(#REF!=4,"24-25/2",
IF(#REF!=5,"25-26/1",
IF(#REF!=6,"25-26/2",
IF(#REF!=7,"26-27/1",
IF(#REF!=8,"26-27/2","Hata6")))))))),
)))))),
IF(BE292="T",
IF(#REF!+BM292=2018,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H292" s="3">
        <v>7</v>
      </c>
      <c r="I292" s="7" t="s">
        <v>179</v>
      </c>
      <c r="L292" s="2">
        <v>3427</v>
      </c>
      <c r="N292" s="2">
        <v>4</v>
      </c>
      <c r="O292" s="6">
        <f t="shared" si="188"/>
        <v>3</v>
      </c>
      <c r="P292" s="2">
        <f t="shared" si="189"/>
        <v>3</v>
      </c>
      <c r="Q292" s="2">
        <v>0</v>
      </c>
      <c r="R292" s="2">
        <v>0</v>
      </c>
      <c r="S292" s="2">
        <v>3</v>
      </c>
      <c r="X292" s="3">
        <v>2</v>
      </c>
      <c r="Y292" s="1">
        <f>VLOOKUP(X292,[36]ölçme_sistemleri!I:L,2,FALSE)</f>
        <v>0</v>
      </c>
      <c r="Z292" s="1">
        <f>VLOOKUP(X292,[36]ölçme_sistemleri!I:L,3,FALSE)</f>
        <v>2</v>
      </c>
      <c r="AA292" s="1">
        <f>VLOOKUP(X292,[36]ölçme_sistemleri!I:L,4,FALSE)</f>
        <v>1</v>
      </c>
      <c r="AB292" s="1">
        <f>$O292*[36]ölçme_sistemleri!$J$13</f>
        <v>3</v>
      </c>
      <c r="AC292" s="1">
        <f>$O292*[36]ölçme_sistemleri!$K$13</f>
        <v>6</v>
      </c>
      <c r="AD292" s="1">
        <f>$O292*[36]ölçme_sistemleri!$L$13</f>
        <v>9</v>
      </c>
      <c r="AE292" s="1">
        <f t="shared" si="190"/>
        <v>0</v>
      </c>
      <c r="AF292" s="1">
        <f t="shared" si="191"/>
        <v>12</v>
      </c>
      <c r="AG292" s="1">
        <f t="shared" si="192"/>
        <v>9</v>
      </c>
      <c r="AH292" s="1">
        <f t="shared" si="193"/>
        <v>21</v>
      </c>
      <c r="AI292" s="1">
        <v>14</v>
      </c>
      <c r="AJ292" s="1">
        <f>VLOOKUP(X292,[36]ölçme_sistemleri!I:M,5,FALSE)</f>
        <v>2</v>
      </c>
      <c r="AK292" s="1">
        <f t="shared" si="194"/>
        <v>294</v>
      </c>
      <c r="AL292" s="1">
        <f>((Q292+S292)*AI292)/2</f>
        <v>21</v>
      </c>
      <c r="AM292" s="1">
        <f>VLOOKUP(X292,[36]ölçme_sistemleri!I:N,6,FALSE)</f>
        <v>3</v>
      </c>
      <c r="AN292" s="1">
        <v>2</v>
      </c>
      <c r="AO292" s="1">
        <f t="shared" si="195"/>
        <v>6</v>
      </c>
      <c r="AP292" s="1">
        <v>14</v>
      </c>
      <c r="AQ292" s="1">
        <f t="shared" si="205"/>
        <v>42</v>
      </c>
      <c r="AR292" s="1">
        <f t="shared" si="196"/>
        <v>90</v>
      </c>
      <c r="AS292" s="1">
        <f t="shared" si="214"/>
        <v>25</v>
      </c>
      <c r="AT292" s="1">
        <f t="shared" si="197"/>
        <v>4</v>
      </c>
      <c r="AU292" s="1">
        <f t="shared" si="206"/>
        <v>0</v>
      </c>
      <c r="AV292" s="1">
        <f t="shared" si="207"/>
        <v>0</v>
      </c>
      <c r="AW292" s="1">
        <f t="shared" si="208"/>
        <v>0</v>
      </c>
      <c r="AX292" s="1">
        <f t="shared" si="209"/>
        <v>0</v>
      </c>
      <c r="AY292" s="1">
        <f t="shared" si="198"/>
        <v>-21</v>
      </c>
      <c r="AZ292" s="1">
        <f t="shared" si="210"/>
        <v>0</v>
      </c>
      <c r="BA292" s="1">
        <f t="shared" si="199"/>
        <v>-21</v>
      </c>
      <c r="BB292" s="1">
        <f t="shared" si="200"/>
        <v>0</v>
      </c>
      <c r="BC292" s="1">
        <f t="shared" si="201"/>
        <v>-6</v>
      </c>
      <c r="BD292" s="1">
        <f t="shared" si="202"/>
        <v>0</v>
      </c>
      <c r="BE292" s="1" t="s">
        <v>65</v>
      </c>
      <c r="BF292" s="1">
        <f t="shared" si="211"/>
        <v>42</v>
      </c>
      <c r="BG292" s="1">
        <f t="shared" si="203"/>
        <v>42</v>
      </c>
      <c r="BH292" s="1">
        <f t="shared" si="204"/>
        <v>1</v>
      </c>
      <c r="BI292" s="1" t="e">
        <f>IF(BH292-#REF!=0,"DOĞRU","YANLIŞ")</f>
        <v>#REF!</v>
      </c>
      <c r="BJ292" s="1" t="e">
        <f>#REF!-BH292</f>
        <v>#REF!</v>
      </c>
      <c r="BK292" s="1">
        <v>0</v>
      </c>
      <c r="BM292" s="1">
        <v>0</v>
      </c>
      <c r="BT292" s="8">
        <f t="shared" si="212"/>
        <v>0</v>
      </c>
      <c r="BU292" s="9"/>
      <c r="BV292" s="10"/>
      <c r="BW292" s="11"/>
      <c r="BX292" s="11"/>
      <c r="BY292" s="11"/>
      <c r="BZ292" s="11"/>
      <c r="CA292" s="11"/>
      <c r="CB292" s="12"/>
      <c r="CC292" s="13"/>
      <c r="CD292" s="14"/>
      <c r="CL292" s="11"/>
      <c r="CM292" s="11"/>
      <c r="CN292" s="11"/>
      <c r="CO292" s="11"/>
      <c r="CP292" s="64"/>
      <c r="CQ292" s="49"/>
      <c r="CR292" s="46"/>
      <c r="CS292" s="49"/>
      <c r="CT292" s="48"/>
      <c r="CU292" s="49"/>
      <c r="CV292" s="48"/>
      <c r="CW292" s="49"/>
      <c r="CX292" s="49"/>
    </row>
    <row r="293" spans="1:102" hidden="1" x14ac:dyDescent="0.25">
      <c r="A293" s="1" t="s">
        <v>309</v>
      </c>
      <c r="B293" s="1" t="s">
        <v>310</v>
      </c>
      <c r="C293" s="1" t="s">
        <v>310</v>
      </c>
      <c r="D293" s="2" t="s">
        <v>63</v>
      </c>
      <c r="E293" s="2" t="s">
        <v>63</v>
      </c>
      <c r="F293" s="3" t="e">
        <f>IF(BE293="S",
IF(#REF!+BM293=2018,
IF(#REF!=1,"18-19/1",
IF(#REF!=2,"18-19/2",
IF(#REF!=3,"19-20/1",
IF(#REF!=4,"19-20/2",
IF(#REF!=5,"20-21/1",
IF(#REF!=6,"20-21/2",
IF(#REF!=7,"21-22/1",
IF(#REF!=8,"21-22/2","Hata1")))))))),
IF(#REF!+BM293=2019,
IF(#REF!=1,"19-20/1",
IF(#REF!=2,"19-20/2",
IF(#REF!=3,"20-21/1",
IF(#REF!=4,"20-21/2",
IF(#REF!=5,"21-22/1",
IF(#REF!=6,"21-22/2",
IF(#REF!=7,"22-23/1",
IF(#REF!=8,"22-23/2","Hata2")))))))),
IF(#REF!+BM293=2020,
IF(#REF!=1,"20-21/1",
IF(#REF!=2,"20-21/2",
IF(#REF!=3,"21-22/1",
IF(#REF!=4,"21-22/2",
IF(#REF!=5,"22-23/1",
IF(#REF!=6,"22-23/2",
IF(#REF!=7,"23-24/1",
IF(#REF!=8,"23-24/2","Hata3")))))))),
IF(#REF!+BM293=2021,
IF(#REF!=1,"21-22/1",
IF(#REF!=2,"21-22/2",
IF(#REF!=3,"22-23/1",
IF(#REF!=4,"22-23/2",
IF(#REF!=5,"23-24/1",
IF(#REF!=6,"23-24/2",
IF(#REF!=7,"24-25/1",
IF(#REF!=8,"24-25/2","Hata4")))))))),
IF(#REF!+BM293=2022,
IF(#REF!=1,"22-23/1",
IF(#REF!=2,"22-23/2",
IF(#REF!=3,"23-24/1",
IF(#REF!=4,"23-24/2",
IF(#REF!=5,"24-25/1",
IF(#REF!=6,"24-25/2",
IF(#REF!=7,"25-26/1",
IF(#REF!=8,"25-26/2","Hata5")))))))),
IF(#REF!+BM293=2023,
IF(#REF!=1,"23-24/1",
IF(#REF!=2,"23-24/2",
IF(#REF!=3,"24-25/1",
IF(#REF!=4,"24-25/2",
IF(#REF!=5,"25-26/1",
IF(#REF!=6,"25-26/2",
IF(#REF!=7,"26-27/1",
IF(#REF!=8,"26-27/2","Hata6")))))))),
)))))),
IF(BE293="T",
IF(#REF!+BM293=2018,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3" s="1" t="s">
        <v>311</v>
      </c>
      <c r="L293" s="2">
        <v>3598</v>
      </c>
      <c r="N293" s="2">
        <v>4</v>
      </c>
      <c r="O293" s="6">
        <f t="shared" si="188"/>
        <v>4</v>
      </c>
      <c r="P293" s="2">
        <f t="shared" si="189"/>
        <v>4</v>
      </c>
      <c r="Q293" s="2">
        <v>4</v>
      </c>
      <c r="R293" s="2">
        <v>0</v>
      </c>
      <c r="S293" s="2">
        <v>0</v>
      </c>
      <c r="X293" s="3">
        <v>4</v>
      </c>
      <c r="Y293" s="1">
        <f>VLOOKUP(X293,[38]ölçme_sistemleri!I:L,2,FALSE)</f>
        <v>0</v>
      </c>
      <c r="Z293" s="1">
        <f>VLOOKUP(X293,[38]ölçme_sistemleri!I:L,3,FALSE)</f>
        <v>1</v>
      </c>
      <c r="AA293" s="1">
        <f>VLOOKUP(X293,[38]ölçme_sistemleri!I:L,4,FALSE)</f>
        <v>1</v>
      </c>
      <c r="AB293" s="1">
        <f>$O293*[38]ölçme_sistemleri!J$13</f>
        <v>4</v>
      </c>
      <c r="AC293" s="1">
        <f>$O293*[38]ölçme_sistemleri!K$13</f>
        <v>8</v>
      </c>
      <c r="AD293" s="1">
        <f>$O293*[38]ölçme_sistemleri!L$13</f>
        <v>12</v>
      </c>
      <c r="AE293" s="1">
        <f t="shared" si="190"/>
        <v>0</v>
      </c>
      <c r="AF293" s="1">
        <f t="shared" si="191"/>
        <v>8</v>
      </c>
      <c r="AG293" s="1">
        <f t="shared" si="192"/>
        <v>12</v>
      </c>
      <c r="AH293" s="1">
        <f t="shared" si="193"/>
        <v>20</v>
      </c>
      <c r="AI293" s="1">
        <v>11</v>
      </c>
      <c r="AJ293" s="1">
        <f>VLOOKUP(X293,[38]ölçme_sistemleri!I:M,5,FALSE)</f>
        <v>1</v>
      </c>
      <c r="AK293" s="1">
        <f t="shared" si="194"/>
        <v>220</v>
      </c>
      <c r="AL293" s="1">
        <f>((Q293+S293)*AI293)</f>
        <v>44</v>
      </c>
      <c r="AM293" s="1">
        <f>VLOOKUP(X293,[38]ölçme_sistemleri!I:N,6,FALSE)</f>
        <v>2</v>
      </c>
      <c r="AN293" s="1">
        <v>2</v>
      </c>
      <c r="AO293" s="1">
        <f t="shared" si="195"/>
        <v>4</v>
      </c>
      <c r="AP293" s="1">
        <v>11</v>
      </c>
      <c r="AQ293" s="1">
        <f t="shared" si="205"/>
        <v>44</v>
      </c>
      <c r="AR293" s="1">
        <f t="shared" si="196"/>
        <v>112</v>
      </c>
      <c r="AS293" s="1">
        <f t="shared" si="214"/>
        <v>30</v>
      </c>
      <c r="AT293" s="1">
        <f t="shared" si="197"/>
        <v>4</v>
      </c>
      <c r="AU293" s="1">
        <f t="shared" si="206"/>
        <v>0</v>
      </c>
      <c r="AV293" s="1">
        <f t="shared" si="207"/>
        <v>0</v>
      </c>
      <c r="AW293" s="1">
        <f t="shared" si="208"/>
        <v>0</v>
      </c>
      <c r="AX293" s="1">
        <f t="shared" si="209"/>
        <v>6.4</v>
      </c>
      <c r="AY293" s="1">
        <f t="shared" si="198"/>
        <v>-13.6</v>
      </c>
      <c r="AZ293" s="1">
        <f t="shared" si="210"/>
        <v>0</v>
      </c>
      <c r="BA293" s="1">
        <f t="shared" si="199"/>
        <v>-44</v>
      </c>
      <c r="BB293" s="1">
        <f t="shared" si="200"/>
        <v>0</v>
      </c>
      <c r="BC293" s="1">
        <f t="shared" si="201"/>
        <v>-4</v>
      </c>
      <c r="BD293" s="1">
        <f t="shared" si="202"/>
        <v>6.4</v>
      </c>
      <c r="BE293" s="1" t="s">
        <v>60</v>
      </c>
      <c r="BF293" s="1">
        <f t="shared" si="211"/>
        <v>44</v>
      </c>
      <c r="BG293" s="1">
        <f t="shared" si="203"/>
        <v>50.4</v>
      </c>
      <c r="BH293" s="1">
        <f t="shared" si="204"/>
        <v>2</v>
      </c>
      <c r="BI293" s="1" t="e">
        <f>IF(BH293-#REF!=0,"DOĞRU","YANLIŞ")</f>
        <v>#REF!</v>
      </c>
      <c r="BJ293" s="1" t="e">
        <f>#REF!-BH293</f>
        <v>#REF!</v>
      </c>
      <c r="BK293" s="1">
        <v>0</v>
      </c>
      <c r="BM293" s="1">
        <v>0</v>
      </c>
      <c r="BT293" s="8">
        <f t="shared" ref="BT293:BT331" si="215">R293*11</f>
        <v>0</v>
      </c>
      <c r="BU293" s="9"/>
      <c r="BV293" s="10"/>
      <c r="BW293" s="11"/>
      <c r="BX293" s="11"/>
      <c r="BY293" s="11"/>
      <c r="BZ293" s="11"/>
      <c r="CA293" s="11"/>
      <c r="CB293" s="12"/>
      <c r="CC293" s="13"/>
      <c r="CD293" s="14"/>
      <c r="CL293" s="11"/>
      <c r="CM293" s="11"/>
      <c r="CN293" s="11"/>
      <c r="CO293" s="11"/>
      <c r="CP293" s="11"/>
      <c r="CQ293" s="54"/>
      <c r="CR293" s="62"/>
      <c r="CS293" s="49"/>
      <c r="CT293" s="63"/>
      <c r="CU293" s="48"/>
      <c r="CV293" s="48"/>
      <c r="CW293" s="49"/>
      <c r="CX293" s="49"/>
    </row>
    <row r="294" spans="1:102" hidden="1" x14ac:dyDescent="0.25">
      <c r="A294" s="1" t="s">
        <v>451</v>
      </c>
      <c r="B294" s="16" t="s">
        <v>452</v>
      </c>
      <c r="C294" s="16" t="s">
        <v>452</v>
      </c>
      <c r="D294" s="2" t="s">
        <v>63</v>
      </c>
      <c r="E294" s="2" t="s">
        <v>63</v>
      </c>
      <c r="F294" s="3" t="e">
        <f>IF(BE294="S",
IF(#REF!+BM294=2018,
IF(#REF!=1,"18-19/1",
IF(#REF!=2,"18-19/2",
IF(#REF!=3,"19-20/1",
IF(#REF!=4,"19-20/2",
IF(#REF!=5,"20-21/1",
IF(#REF!=6,"20-21/2",
IF(#REF!=7,"21-22/1",
IF(#REF!=8,"21-22/2","Hata1")))))))),
IF(#REF!+BM294=2019,
IF(#REF!=1,"19-20/1",
IF(#REF!=2,"19-20/2",
IF(#REF!=3,"20-21/1",
IF(#REF!=4,"20-21/2",
IF(#REF!=5,"21-22/1",
IF(#REF!=6,"21-22/2",
IF(#REF!=7,"22-23/1",
IF(#REF!=8,"22-23/2","Hata2")))))))),
IF(#REF!+BM294=2020,
IF(#REF!=1,"20-21/1",
IF(#REF!=2,"20-21/2",
IF(#REF!=3,"21-22/1",
IF(#REF!=4,"21-22/2",
IF(#REF!=5,"22-23/1",
IF(#REF!=6,"22-23/2",
IF(#REF!=7,"23-24/1",
IF(#REF!=8,"23-24/2","Hata3")))))))),
IF(#REF!+BM294=2021,
IF(#REF!=1,"21-22/1",
IF(#REF!=2,"21-22/2",
IF(#REF!=3,"22-23/1",
IF(#REF!=4,"22-23/2",
IF(#REF!=5,"23-24/1",
IF(#REF!=6,"23-24/2",
IF(#REF!=7,"24-25/1",
IF(#REF!=8,"24-25/2","Hata4")))))))),
IF(#REF!+BM294=2022,
IF(#REF!=1,"22-23/1",
IF(#REF!=2,"22-23/2",
IF(#REF!=3,"23-24/1",
IF(#REF!=4,"23-24/2",
IF(#REF!=5,"24-25/1",
IF(#REF!=6,"24-25/2",
IF(#REF!=7,"25-26/1",
IF(#REF!=8,"25-26/2","Hata5")))))))),
IF(#REF!+BM294=2023,
IF(#REF!=1,"23-24/1",
IF(#REF!=2,"23-24/2",
IF(#REF!=3,"24-25/1",
IF(#REF!=4,"24-25/2",
IF(#REF!=5,"25-26/1",
IF(#REF!=6,"25-26/2",
IF(#REF!=7,"26-27/1",
IF(#REF!=8,"26-27/2","Hata6")))))))),
)))))),
IF(BE294="T",
IF(#REF!+BM294=2018,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4" s="1" t="s">
        <v>311</v>
      </c>
      <c r="L294" s="2">
        <v>261</v>
      </c>
      <c r="N294" s="2">
        <v>2</v>
      </c>
      <c r="O294" s="6">
        <f t="shared" si="188"/>
        <v>2</v>
      </c>
      <c r="P294" s="2">
        <f t="shared" si="189"/>
        <v>4</v>
      </c>
      <c r="Q294" s="2">
        <v>0</v>
      </c>
      <c r="R294" s="2">
        <v>4</v>
      </c>
      <c r="S294" s="2">
        <v>0</v>
      </c>
      <c r="X294" s="3">
        <v>4</v>
      </c>
      <c r="Y294" s="1">
        <f>VLOOKUP(X294,[39]ölçme_sistemleri!I:L,2,FALSE)</f>
        <v>0</v>
      </c>
      <c r="Z294" s="1">
        <f>VLOOKUP(X294,[39]ölçme_sistemleri!I:L,3,FALSE)</f>
        <v>1</v>
      </c>
      <c r="AA294" s="1">
        <f>VLOOKUP(X294,[39]ölçme_sistemleri!I:L,4,FALSE)</f>
        <v>1</v>
      </c>
      <c r="AB294" s="1">
        <f>$O294*[39]ölçme_sistemleri!J$13</f>
        <v>2</v>
      </c>
      <c r="AC294" s="1">
        <f>$O294*[39]ölçme_sistemleri!K$13</f>
        <v>4</v>
      </c>
      <c r="AD294" s="1">
        <f>$O294*[39]ölçme_sistemleri!L$13</f>
        <v>6</v>
      </c>
      <c r="AE294" s="1">
        <f t="shared" si="190"/>
        <v>0</v>
      </c>
      <c r="AF294" s="1">
        <f t="shared" si="191"/>
        <v>4</v>
      </c>
      <c r="AG294" s="1">
        <f t="shared" si="192"/>
        <v>6</v>
      </c>
      <c r="AH294" s="1">
        <f t="shared" si="193"/>
        <v>10</v>
      </c>
      <c r="AI294" s="1">
        <v>11</v>
      </c>
      <c r="AJ294" s="1">
        <f>VLOOKUP(X294,[39]ölçme_sistemleri!I:M,5,FALSE)</f>
        <v>1</v>
      </c>
      <c r="AK294" s="1">
        <f t="shared" si="194"/>
        <v>110</v>
      </c>
      <c r="AL294" s="1">
        <f>AI294*4</f>
        <v>44</v>
      </c>
      <c r="AM294" s="1">
        <f>VLOOKUP(X294,[39]ölçme_sistemleri!I:N,6,FALSE)</f>
        <v>2</v>
      </c>
      <c r="AN294" s="1">
        <v>2</v>
      </c>
      <c r="AO294" s="1">
        <f t="shared" si="195"/>
        <v>4</v>
      </c>
      <c r="AP294" s="1">
        <v>11</v>
      </c>
      <c r="AQ294" s="1">
        <f t="shared" si="205"/>
        <v>44</v>
      </c>
      <c r="AR294" s="1">
        <f t="shared" si="196"/>
        <v>102</v>
      </c>
      <c r="AS294" s="1">
        <f t="shared" si="214"/>
        <v>30</v>
      </c>
      <c r="AT294" s="1">
        <f t="shared" si="197"/>
        <v>3</v>
      </c>
      <c r="AU294" s="1">
        <f t="shared" si="206"/>
        <v>1</v>
      </c>
      <c r="AV294" s="1">
        <f t="shared" si="207"/>
        <v>0</v>
      </c>
      <c r="AW294" s="1">
        <f t="shared" si="208"/>
        <v>0</v>
      </c>
      <c r="AX294" s="1">
        <f t="shared" si="209"/>
        <v>3.2</v>
      </c>
      <c r="AY294" s="1">
        <f t="shared" si="198"/>
        <v>-6.8</v>
      </c>
      <c r="AZ294" s="1">
        <f t="shared" si="210"/>
        <v>0</v>
      </c>
      <c r="BA294" s="1">
        <f t="shared" si="199"/>
        <v>-44</v>
      </c>
      <c r="BB294" s="1">
        <f t="shared" si="200"/>
        <v>0</v>
      </c>
      <c r="BC294" s="1">
        <f t="shared" si="201"/>
        <v>-4</v>
      </c>
      <c r="BD294" s="1">
        <f t="shared" si="202"/>
        <v>3.2</v>
      </c>
      <c r="BE294" s="1" t="s">
        <v>60</v>
      </c>
      <c r="BF294" s="1">
        <f t="shared" si="211"/>
        <v>22</v>
      </c>
      <c r="BG294" s="1">
        <f t="shared" si="203"/>
        <v>25.2</v>
      </c>
      <c r="BH294" s="1">
        <f t="shared" si="204"/>
        <v>1</v>
      </c>
      <c r="BI294" s="1" t="e">
        <f>IF(BH294-#REF!=0,"DOĞRU","YANLIŞ")</f>
        <v>#REF!</v>
      </c>
      <c r="BJ294" s="1" t="e">
        <f>#REF!-BH294</f>
        <v>#REF!</v>
      </c>
      <c r="BK294" s="1">
        <v>0</v>
      </c>
      <c r="BM294" s="1">
        <v>0</v>
      </c>
      <c r="BT294" s="8">
        <f t="shared" si="215"/>
        <v>44</v>
      </c>
      <c r="BU294" s="24">
        <v>44</v>
      </c>
      <c r="BV294" s="10"/>
      <c r="BW294" s="11"/>
      <c r="BX294" s="11"/>
      <c r="BY294" s="11"/>
      <c r="BZ294" s="11"/>
      <c r="CA294" s="11"/>
      <c r="CB294" s="12"/>
      <c r="CC294" s="13"/>
      <c r="CD294" s="23" t="s">
        <v>445</v>
      </c>
      <c r="CL294" s="11"/>
      <c r="CM294" s="11"/>
      <c r="CN294" s="11"/>
      <c r="CO294" s="11"/>
      <c r="CP294" s="11"/>
      <c r="CQ294" s="49"/>
      <c r="CR294" s="46"/>
      <c r="CS294" s="48"/>
      <c r="CT294" s="48"/>
      <c r="CU294" s="48"/>
      <c r="CV294" s="48"/>
      <c r="CW294" s="49"/>
      <c r="CX294" s="49"/>
    </row>
    <row r="295" spans="1:102" hidden="1" x14ac:dyDescent="0.25">
      <c r="A295" s="1" t="s">
        <v>314</v>
      </c>
      <c r="B295" s="1" t="s">
        <v>77</v>
      </c>
      <c r="C295" s="1" t="s">
        <v>77</v>
      </c>
      <c r="D295" s="2" t="s">
        <v>58</v>
      </c>
      <c r="E295" s="2" t="s">
        <v>58</v>
      </c>
      <c r="F295" s="3" t="e">
        <f>IF(BE295="S",
IF(#REF!+BM295=2018,
IF(#REF!=1,"18-19/1",
IF(#REF!=2,"18-19/2",
IF(#REF!=3,"19-20/1",
IF(#REF!=4,"19-20/2",
IF(#REF!=5,"20-21/1",
IF(#REF!=6,"20-21/2",
IF(#REF!=7,"21-22/1",
IF(#REF!=8,"21-22/2","Hata1")))))))),
IF(#REF!+BM295=2019,
IF(#REF!=1,"19-20/1",
IF(#REF!=2,"19-20/2",
IF(#REF!=3,"20-21/1",
IF(#REF!=4,"20-21/2",
IF(#REF!=5,"21-22/1",
IF(#REF!=6,"21-22/2",
IF(#REF!=7,"22-23/1",
IF(#REF!=8,"22-23/2","Hata2")))))))),
IF(#REF!+BM295=2020,
IF(#REF!=1,"20-21/1",
IF(#REF!=2,"20-21/2",
IF(#REF!=3,"21-22/1",
IF(#REF!=4,"21-22/2",
IF(#REF!=5,"22-23/1",
IF(#REF!=6,"22-23/2",
IF(#REF!=7,"23-24/1",
IF(#REF!=8,"23-24/2","Hata3")))))))),
IF(#REF!+BM295=2021,
IF(#REF!=1,"21-22/1",
IF(#REF!=2,"21-22/2",
IF(#REF!=3,"22-23/1",
IF(#REF!=4,"22-23/2",
IF(#REF!=5,"23-24/1",
IF(#REF!=6,"23-24/2",
IF(#REF!=7,"24-25/1",
IF(#REF!=8,"24-25/2","Hata4")))))))),
IF(#REF!+BM295=2022,
IF(#REF!=1,"22-23/1",
IF(#REF!=2,"22-23/2",
IF(#REF!=3,"23-24/1",
IF(#REF!=4,"23-24/2",
IF(#REF!=5,"24-25/1",
IF(#REF!=6,"24-25/2",
IF(#REF!=7,"25-26/1",
IF(#REF!=8,"25-26/2","Hata5")))))))),
IF(#REF!+BM295=2023,
IF(#REF!=1,"23-24/1",
IF(#REF!=2,"23-24/2",
IF(#REF!=3,"24-25/1",
IF(#REF!=4,"24-25/2",
IF(#REF!=5,"25-26/1",
IF(#REF!=6,"25-26/2",
IF(#REF!=7,"26-27/1",
IF(#REF!=8,"26-27/2","Hata6")))))))),
)))))),
IF(BE295="T",
IF(#REF!+BM295=2018,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5" s="1" t="s">
        <v>311</v>
      </c>
      <c r="L295" s="2">
        <v>3567</v>
      </c>
      <c r="N295" s="2">
        <v>4</v>
      </c>
      <c r="O295" s="6">
        <f t="shared" si="188"/>
        <v>2</v>
      </c>
      <c r="P295" s="2">
        <f t="shared" si="189"/>
        <v>2</v>
      </c>
      <c r="Q295" s="2">
        <v>0</v>
      </c>
      <c r="R295" s="2">
        <v>0</v>
      </c>
      <c r="S295" s="2">
        <v>2</v>
      </c>
      <c r="X295" s="3">
        <v>7</v>
      </c>
      <c r="Y295" s="1">
        <f>VLOOKUP(X295,[38]ölçme_sistemleri!I:L,2,FALSE)</f>
        <v>0</v>
      </c>
      <c r="Z295" s="1">
        <f>VLOOKUP(X295,[38]ölçme_sistemleri!I:L,3,FALSE)</f>
        <v>1</v>
      </c>
      <c r="AA295" s="1">
        <f>VLOOKUP(X295,[38]ölçme_sistemleri!I:L,4,FALSE)</f>
        <v>1</v>
      </c>
      <c r="AB295" s="1">
        <f>$O295*[38]ölçme_sistemleri!J$13</f>
        <v>2</v>
      </c>
      <c r="AC295" s="1">
        <f>$O295*[38]ölçme_sistemleri!K$13</f>
        <v>4</v>
      </c>
      <c r="AD295" s="1">
        <f>$O295*[38]ölçme_sistemleri!L$13</f>
        <v>6</v>
      </c>
      <c r="AE295" s="1">
        <f t="shared" ref="AE295:AE326" si="216">Y295*AB295</f>
        <v>0</v>
      </c>
      <c r="AF295" s="1">
        <f t="shared" ref="AF295:AF326" si="217">Z295*AC295</f>
        <v>4</v>
      </c>
      <c r="AG295" s="1">
        <f t="shared" ref="AG295:AG326" si="218">AA295*AD295</f>
        <v>6</v>
      </c>
      <c r="AH295" s="1">
        <f t="shared" ref="AH295:AH326" si="219">SUM(AE295:AG295)</f>
        <v>10</v>
      </c>
      <c r="AI295" s="1">
        <v>11</v>
      </c>
      <c r="AJ295" s="1">
        <f>VLOOKUP(X295,[38]ölçme_sistemleri!I:M,5,FALSE)</f>
        <v>1</v>
      </c>
      <c r="AK295" s="1">
        <f t="shared" ref="AK295:AK326" si="220">SUM(AE295,AF295,AG295)*AI295</f>
        <v>110</v>
      </c>
      <c r="AL295" s="1">
        <f>AI295*7</f>
        <v>77</v>
      </c>
      <c r="AM295" s="1">
        <f>VLOOKUP(X295,[38]ölçme_sistemleri!I:N,6,FALSE)</f>
        <v>2</v>
      </c>
      <c r="AN295" s="1">
        <v>2</v>
      </c>
      <c r="AO295" s="1">
        <f t="shared" ref="AO295:AO326" si="221">AM295*AN295</f>
        <v>4</v>
      </c>
      <c r="AP295" s="1">
        <v>11</v>
      </c>
      <c r="AQ295" s="1">
        <f t="shared" si="205"/>
        <v>22</v>
      </c>
      <c r="AR295" s="1">
        <f t="shared" ref="AR295:AR326" si="222">AQ295+AO295+AL295+AE295+AF295+AG295</f>
        <v>113</v>
      </c>
      <c r="AS295" s="1">
        <f t="shared" si="214"/>
        <v>30</v>
      </c>
      <c r="AT295" s="1">
        <f t="shared" ref="AT295:AT326" si="223">ROUND(AR295/AS295,0)</f>
        <v>4</v>
      </c>
      <c r="AU295" s="1">
        <f t="shared" si="206"/>
        <v>0</v>
      </c>
      <c r="AV295" s="1">
        <f t="shared" si="207"/>
        <v>0</v>
      </c>
      <c r="AW295" s="1">
        <f t="shared" si="208"/>
        <v>0</v>
      </c>
      <c r="AX295" s="1">
        <f t="shared" si="209"/>
        <v>3.2</v>
      </c>
      <c r="AY295" s="1">
        <f t="shared" ref="AY295:AY326" si="224">SUM(AV295:AX295)-SUM(AD295:AF295)</f>
        <v>-6.8</v>
      </c>
      <c r="AZ295" s="1">
        <f t="shared" si="210"/>
        <v>0</v>
      </c>
      <c r="BA295" s="1">
        <f t="shared" ref="BA295:BA326" si="225">AZ295-AL295</f>
        <v>-77</v>
      </c>
      <c r="BB295" s="1">
        <f t="shared" ref="BB295:BB326" si="226">IF(BE295="s",
IF(W295=0,0,
IF(W295=1,4*5,
IF(W295=2,4*3,
IF(W295=3,4*4,
IF(W295=4,4*2,
IF(W295=5,4,
IF(W295=6,4/2,
IF(W295=7,4*2,)))))))),
IF(BE295="t",
IF(W295=0,0,
IF(W295=1,4*5,
IF(W295=2,4*3,
IF(W295=3,4*4,
IF(W295=4,4*2,
IF(W295=5,4,
IF(W295=6,4/2,
IF(W295=7,4*2))))))))))</f>
        <v>0</v>
      </c>
      <c r="BC295" s="1">
        <f t="shared" ref="BC295:BC326" si="227">BB295-AO295</f>
        <v>-4</v>
      </c>
      <c r="BD295" s="1">
        <f t="shared" ref="BD295:BD326" si="228">AV295+AW295+AX295+(IF(BK295=1,(AZ295)*2,AZ295))+BB295</f>
        <v>3.2</v>
      </c>
      <c r="BE295" s="1" t="s">
        <v>60</v>
      </c>
      <c r="BF295" s="1">
        <f t="shared" si="211"/>
        <v>22</v>
      </c>
      <c r="BG295" s="1">
        <f t="shared" si="203"/>
        <v>25.2</v>
      </c>
      <c r="BH295" s="1">
        <f t="shared" si="204"/>
        <v>1</v>
      </c>
      <c r="BI295" s="1" t="e">
        <f>IF(BH295-#REF!=0,"DOĞRU","YANLIŞ")</f>
        <v>#REF!</v>
      </c>
      <c r="BJ295" s="1" t="e">
        <f>#REF!-BH295</f>
        <v>#REF!</v>
      </c>
      <c r="BK295" s="1">
        <v>0</v>
      </c>
      <c r="BM295" s="1">
        <v>0</v>
      </c>
      <c r="BT295" s="8">
        <f t="shared" si="215"/>
        <v>0</v>
      </c>
      <c r="BU295" s="9"/>
      <c r="BV295" s="10"/>
      <c r="BW295" s="11"/>
      <c r="BX295" s="11"/>
      <c r="BY295" s="11"/>
      <c r="BZ295" s="11"/>
      <c r="CA295" s="11"/>
      <c r="CB295" s="12"/>
      <c r="CC295" s="13"/>
      <c r="CD295" s="14"/>
      <c r="CL295" s="11"/>
      <c r="CM295" s="11"/>
      <c r="CN295" s="11"/>
      <c r="CO295" s="11"/>
      <c r="CP295" s="11"/>
      <c r="CQ295" s="46"/>
      <c r="CR295" s="46"/>
      <c r="CS295" s="48"/>
      <c r="CT295" s="48"/>
      <c r="CU295" s="48"/>
      <c r="CV295" s="48"/>
      <c r="CW295" s="49"/>
      <c r="CX295" s="49"/>
    </row>
    <row r="296" spans="1:102" hidden="1" x14ac:dyDescent="0.25">
      <c r="A296" s="1" t="s">
        <v>315</v>
      </c>
      <c r="B296" s="1" t="s">
        <v>316</v>
      </c>
      <c r="C296" s="1" t="s">
        <v>316</v>
      </c>
      <c r="D296" s="2" t="s">
        <v>63</v>
      </c>
      <c r="E296" s="2" t="s">
        <v>63</v>
      </c>
      <c r="F296" s="3" t="e">
        <f>IF(BE296="S",
IF(#REF!+BM296=2018,
IF(#REF!=1,"18-19/1",
IF(#REF!=2,"18-19/2",
IF(#REF!=3,"19-20/1",
IF(#REF!=4,"19-20/2",
IF(#REF!=5,"20-21/1",
IF(#REF!=6,"20-21/2",
IF(#REF!=7,"21-22/1",
IF(#REF!=8,"21-22/2","Hata1")))))))),
IF(#REF!+BM296=2019,
IF(#REF!=1,"19-20/1",
IF(#REF!=2,"19-20/2",
IF(#REF!=3,"20-21/1",
IF(#REF!=4,"20-21/2",
IF(#REF!=5,"21-22/1",
IF(#REF!=6,"21-22/2",
IF(#REF!=7,"22-23/1",
IF(#REF!=8,"22-23/2","Hata2")))))))),
IF(#REF!+BM296=2020,
IF(#REF!=1,"20-21/1",
IF(#REF!=2,"20-21/2",
IF(#REF!=3,"21-22/1",
IF(#REF!=4,"21-22/2",
IF(#REF!=5,"22-23/1",
IF(#REF!=6,"22-23/2",
IF(#REF!=7,"23-24/1",
IF(#REF!=8,"23-24/2","Hata3")))))))),
IF(#REF!+BM296=2021,
IF(#REF!=1,"21-22/1",
IF(#REF!=2,"21-22/2",
IF(#REF!=3,"22-23/1",
IF(#REF!=4,"22-23/2",
IF(#REF!=5,"23-24/1",
IF(#REF!=6,"23-24/2",
IF(#REF!=7,"24-25/1",
IF(#REF!=8,"24-25/2","Hata4")))))))),
IF(#REF!+BM296=2022,
IF(#REF!=1,"22-23/1",
IF(#REF!=2,"22-23/2",
IF(#REF!=3,"23-24/1",
IF(#REF!=4,"23-24/2",
IF(#REF!=5,"24-25/1",
IF(#REF!=6,"24-25/2",
IF(#REF!=7,"25-26/1",
IF(#REF!=8,"25-26/2","Hata5")))))))),
IF(#REF!+BM296=2023,
IF(#REF!=1,"23-24/1",
IF(#REF!=2,"23-24/2",
IF(#REF!=3,"24-25/1",
IF(#REF!=4,"24-25/2",
IF(#REF!=5,"25-26/1",
IF(#REF!=6,"25-26/2",
IF(#REF!=7,"26-27/1",
IF(#REF!=8,"26-27/2","Hata6")))))))),
)))))),
IF(BE296="T",
IF(#REF!+BM296=2018,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6" s="1" t="s">
        <v>311</v>
      </c>
      <c r="L296" s="2">
        <v>1055</v>
      </c>
      <c r="N296" s="2">
        <v>4</v>
      </c>
      <c r="O296" s="6">
        <f t="shared" ref="O296:O327" si="229">(S296)+(R296/2)+(Q296)</f>
        <v>3</v>
      </c>
      <c r="P296" s="2">
        <f t="shared" ref="P296:P327" si="230">Q296+R296+S296</f>
        <v>6</v>
      </c>
      <c r="Q296" s="2">
        <v>0</v>
      </c>
      <c r="R296" s="2">
        <v>6</v>
      </c>
      <c r="S296" s="2">
        <v>0</v>
      </c>
      <c r="X296" s="3">
        <v>6</v>
      </c>
      <c r="Y296" s="1">
        <f>VLOOKUP(X296,[39]ölçme_sistemleri!I:L,2,FALSE)</f>
        <v>0</v>
      </c>
      <c r="Z296" s="1">
        <f>VLOOKUP(X296,[39]ölçme_sistemleri!I:L,3,FALSE)</f>
        <v>0</v>
      </c>
      <c r="AA296" s="1">
        <f>VLOOKUP(X296,[39]ölçme_sistemleri!I:L,4,FALSE)</f>
        <v>1</v>
      </c>
      <c r="AB296" s="1">
        <f>$O296*[39]ölçme_sistemleri!J$13</f>
        <v>3</v>
      </c>
      <c r="AC296" s="1">
        <f>$O296*[39]ölçme_sistemleri!K$13</f>
        <v>6</v>
      </c>
      <c r="AD296" s="1">
        <f>$O296*[39]ölçme_sistemleri!L$13</f>
        <v>9</v>
      </c>
      <c r="AE296" s="1">
        <f t="shared" si="216"/>
        <v>0</v>
      </c>
      <c r="AF296" s="1">
        <f t="shared" si="217"/>
        <v>0</v>
      </c>
      <c r="AG296" s="1">
        <f t="shared" si="218"/>
        <v>9</v>
      </c>
      <c r="AH296" s="1">
        <f t="shared" si="219"/>
        <v>9</v>
      </c>
      <c r="AI296" s="1">
        <v>11</v>
      </c>
      <c r="AJ296" s="1">
        <f>VLOOKUP(X296,[39]ölçme_sistemleri!I:M,5,FALSE)</f>
        <v>0</v>
      </c>
      <c r="AK296" s="1">
        <f t="shared" si="220"/>
        <v>99</v>
      </c>
      <c r="AL296" s="1">
        <f>AI296*4</f>
        <v>44</v>
      </c>
      <c r="AM296" s="1">
        <f>VLOOKUP(X296,[39]ölçme_sistemleri!I:N,6,FALSE)</f>
        <v>1</v>
      </c>
      <c r="AN296" s="1">
        <v>2</v>
      </c>
      <c r="AO296" s="1">
        <f t="shared" si="221"/>
        <v>2</v>
      </c>
      <c r="AP296" s="1">
        <v>11</v>
      </c>
      <c r="AQ296" s="1">
        <f t="shared" si="205"/>
        <v>66</v>
      </c>
      <c r="AR296" s="1">
        <f t="shared" si="222"/>
        <v>121</v>
      </c>
      <c r="AS296" s="1">
        <f t="shared" si="214"/>
        <v>30</v>
      </c>
      <c r="AT296" s="1">
        <f t="shared" si="223"/>
        <v>4</v>
      </c>
      <c r="AU296" s="1">
        <f t="shared" si="206"/>
        <v>0</v>
      </c>
      <c r="AV296" s="1">
        <f t="shared" si="207"/>
        <v>0</v>
      </c>
      <c r="AW296" s="1">
        <f t="shared" si="208"/>
        <v>0</v>
      </c>
      <c r="AX296" s="1">
        <f t="shared" si="209"/>
        <v>4.8000000000000007</v>
      </c>
      <c r="AY296" s="1">
        <f t="shared" si="224"/>
        <v>-4.1999999999999993</v>
      </c>
      <c r="AZ296" s="1">
        <f t="shared" si="210"/>
        <v>0</v>
      </c>
      <c r="BA296" s="1">
        <f t="shared" si="225"/>
        <v>-44</v>
      </c>
      <c r="BB296" s="1">
        <f t="shared" si="226"/>
        <v>0</v>
      </c>
      <c r="BC296" s="1">
        <f t="shared" si="227"/>
        <v>-2</v>
      </c>
      <c r="BD296" s="1">
        <f t="shared" si="228"/>
        <v>4.8000000000000007</v>
      </c>
      <c r="BE296" s="1" t="s">
        <v>60</v>
      </c>
      <c r="BF296" s="1">
        <f t="shared" si="211"/>
        <v>33</v>
      </c>
      <c r="BG296" s="1">
        <f t="shared" ref="BG296:BG327" si="231">IF(BL296="Z",(BF296+BD296)*1.15,(BF296+BD296))</f>
        <v>37.799999999999997</v>
      </c>
      <c r="BH296" s="1">
        <f t="shared" ref="BH296:BH327" si="232">IF(BE296="s",ROUND(BG296/30,0),IF(BE296="T",ROUND(BG296/25,0),"HATA"))</f>
        <v>2</v>
      </c>
      <c r="BI296" s="1" t="e">
        <f>IF(BH296-#REF!=0,"DOĞRU","YANLIŞ")</f>
        <v>#REF!</v>
      </c>
      <c r="BJ296" s="1" t="e">
        <f>#REF!-BH296</f>
        <v>#REF!</v>
      </c>
      <c r="BK296" s="1">
        <v>0</v>
      </c>
      <c r="BM296" s="1">
        <v>0</v>
      </c>
      <c r="BT296" s="8">
        <f t="shared" si="215"/>
        <v>66</v>
      </c>
      <c r="BU296" s="25">
        <v>66</v>
      </c>
      <c r="BV296" s="18"/>
      <c r="BW296" s="19"/>
      <c r="BX296" s="19"/>
      <c r="BY296" s="19"/>
      <c r="BZ296" s="19"/>
      <c r="CA296" s="19"/>
      <c r="CB296" s="20"/>
      <c r="CC296" s="21" t="s">
        <v>446</v>
      </c>
      <c r="CD296" s="23"/>
      <c r="CL296" s="11"/>
      <c r="CM296" s="11"/>
      <c r="CN296" s="11"/>
      <c r="CO296" s="11"/>
      <c r="CP296" s="11"/>
      <c r="CQ296" s="54"/>
      <c r="CR296" s="46"/>
      <c r="CS296" s="48"/>
      <c r="CT296" s="48"/>
      <c r="CU296" s="48"/>
      <c r="CV296" s="48"/>
      <c r="CW296" s="49"/>
      <c r="CX296" s="49"/>
    </row>
    <row r="297" spans="1:102" hidden="1" x14ac:dyDescent="0.25">
      <c r="A297" s="1" t="s">
        <v>317</v>
      </c>
      <c r="B297" s="1" t="s">
        <v>318</v>
      </c>
      <c r="C297" s="1" t="s">
        <v>318</v>
      </c>
      <c r="D297" s="2" t="s">
        <v>63</v>
      </c>
      <c r="E297" s="2" t="s">
        <v>63</v>
      </c>
      <c r="F297" s="3" t="e">
        <f>IF(BE297="S",
IF(#REF!+BM297=2018,
IF(#REF!=1,"18-19/1",
IF(#REF!=2,"18-19/2",
IF(#REF!=3,"19-20/1",
IF(#REF!=4,"19-20/2",
IF(#REF!=5,"20-21/1",
IF(#REF!=6,"20-21/2",
IF(#REF!=7,"21-22/1",
IF(#REF!=8,"21-22/2","Hata1")))))))),
IF(#REF!+BM297=2019,
IF(#REF!=1,"19-20/1",
IF(#REF!=2,"19-20/2",
IF(#REF!=3,"20-21/1",
IF(#REF!=4,"20-21/2",
IF(#REF!=5,"21-22/1",
IF(#REF!=6,"21-22/2",
IF(#REF!=7,"22-23/1",
IF(#REF!=8,"22-23/2","Hata2")))))))),
IF(#REF!+BM297=2020,
IF(#REF!=1,"20-21/1",
IF(#REF!=2,"20-21/2",
IF(#REF!=3,"21-22/1",
IF(#REF!=4,"21-22/2",
IF(#REF!=5,"22-23/1",
IF(#REF!=6,"22-23/2",
IF(#REF!=7,"23-24/1",
IF(#REF!=8,"23-24/2","Hata3")))))))),
IF(#REF!+BM297=2021,
IF(#REF!=1,"21-22/1",
IF(#REF!=2,"21-22/2",
IF(#REF!=3,"22-23/1",
IF(#REF!=4,"22-23/2",
IF(#REF!=5,"23-24/1",
IF(#REF!=6,"23-24/2",
IF(#REF!=7,"24-25/1",
IF(#REF!=8,"24-25/2","Hata4")))))))),
IF(#REF!+BM297=2022,
IF(#REF!=1,"22-23/1",
IF(#REF!=2,"22-23/2",
IF(#REF!=3,"23-24/1",
IF(#REF!=4,"23-24/2",
IF(#REF!=5,"24-25/1",
IF(#REF!=6,"24-25/2",
IF(#REF!=7,"25-26/1",
IF(#REF!=8,"25-26/2","Hata5")))))))),
IF(#REF!+BM297=2023,
IF(#REF!=1,"23-24/1",
IF(#REF!=2,"23-24/2",
IF(#REF!=3,"24-25/1",
IF(#REF!=4,"24-25/2",
IF(#REF!=5,"25-26/1",
IF(#REF!=6,"25-26/2",
IF(#REF!=7,"26-27/1",
IF(#REF!=8,"26-27/2","Hata6")))))))),
)))))),
IF(BE297="T",
IF(#REF!+BM297=2018,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7" s="1" t="s">
        <v>311</v>
      </c>
      <c r="L297" s="2">
        <v>3568</v>
      </c>
      <c r="N297" s="2">
        <v>4</v>
      </c>
      <c r="O297" s="6">
        <f t="shared" si="229"/>
        <v>4</v>
      </c>
      <c r="P297" s="2">
        <f t="shared" si="230"/>
        <v>4</v>
      </c>
      <c r="Q297" s="2">
        <v>0</v>
      </c>
      <c r="R297" s="2">
        <v>0</v>
      </c>
      <c r="S297" s="2">
        <v>4</v>
      </c>
      <c r="X297" s="3">
        <v>4</v>
      </c>
      <c r="Y297" s="1">
        <f>VLOOKUP(X297,[38]ölçme_sistemleri!I:L,2,FALSE)</f>
        <v>0</v>
      </c>
      <c r="Z297" s="1">
        <f>VLOOKUP(X297,[38]ölçme_sistemleri!I:L,3,FALSE)</f>
        <v>1</v>
      </c>
      <c r="AA297" s="1">
        <f>VLOOKUP(X297,[38]ölçme_sistemleri!I:L,4,FALSE)</f>
        <v>1</v>
      </c>
      <c r="AB297" s="1">
        <f>$O297*[38]ölçme_sistemleri!J$13</f>
        <v>4</v>
      </c>
      <c r="AC297" s="1">
        <f>$O297*[38]ölçme_sistemleri!K$13</f>
        <v>8</v>
      </c>
      <c r="AD297" s="1">
        <f>$O297*[38]ölçme_sistemleri!L$13</f>
        <v>12</v>
      </c>
      <c r="AE297" s="1">
        <f t="shared" si="216"/>
        <v>0</v>
      </c>
      <c r="AF297" s="1">
        <f t="shared" si="217"/>
        <v>8</v>
      </c>
      <c r="AG297" s="1">
        <f t="shared" si="218"/>
        <v>12</v>
      </c>
      <c r="AH297" s="1">
        <f t="shared" si="219"/>
        <v>20</v>
      </c>
      <c r="AI297" s="1">
        <v>11</v>
      </c>
      <c r="AJ297" s="1">
        <f>VLOOKUP(X297,[38]ölçme_sistemleri!I:M,5,FALSE)</f>
        <v>1</v>
      </c>
      <c r="AK297" s="1">
        <f t="shared" si="220"/>
        <v>220</v>
      </c>
      <c r="AL297" s="1">
        <f>((Q297+S297)*AI297)</f>
        <v>44</v>
      </c>
      <c r="AM297" s="1">
        <f>VLOOKUP(X297,[38]ölçme_sistemleri!I:N,6,FALSE)</f>
        <v>2</v>
      </c>
      <c r="AN297" s="1">
        <v>2</v>
      </c>
      <c r="AO297" s="1">
        <f t="shared" si="221"/>
        <v>4</v>
      </c>
      <c r="AP297" s="1">
        <v>11</v>
      </c>
      <c r="AQ297" s="1">
        <f t="shared" si="205"/>
        <v>44</v>
      </c>
      <c r="AR297" s="1">
        <f t="shared" si="222"/>
        <v>112</v>
      </c>
      <c r="AS297" s="1">
        <f t="shared" si="214"/>
        <v>30</v>
      </c>
      <c r="AT297" s="1">
        <f t="shared" si="223"/>
        <v>4</v>
      </c>
      <c r="AU297" s="1">
        <f t="shared" si="206"/>
        <v>0</v>
      </c>
      <c r="AV297" s="1">
        <f t="shared" si="207"/>
        <v>0</v>
      </c>
      <c r="AW297" s="1">
        <f t="shared" si="208"/>
        <v>0</v>
      </c>
      <c r="AX297" s="1">
        <f t="shared" si="209"/>
        <v>6.4</v>
      </c>
      <c r="AY297" s="1">
        <f t="shared" si="224"/>
        <v>-13.6</v>
      </c>
      <c r="AZ297" s="1">
        <f t="shared" si="210"/>
        <v>0</v>
      </c>
      <c r="BA297" s="1">
        <f t="shared" si="225"/>
        <v>-44</v>
      </c>
      <c r="BB297" s="1">
        <f t="shared" si="226"/>
        <v>0</v>
      </c>
      <c r="BC297" s="1">
        <f t="shared" si="227"/>
        <v>-4</v>
      </c>
      <c r="BD297" s="1">
        <f t="shared" si="228"/>
        <v>6.4</v>
      </c>
      <c r="BE297" s="1" t="s">
        <v>60</v>
      </c>
      <c r="BF297" s="1">
        <f t="shared" si="211"/>
        <v>44</v>
      </c>
      <c r="BG297" s="1">
        <f t="shared" si="231"/>
        <v>50.4</v>
      </c>
      <c r="BH297" s="1">
        <f t="shared" si="232"/>
        <v>2</v>
      </c>
      <c r="BI297" s="1" t="e">
        <f>IF(BH297-#REF!=0,"DOĞRU","YANLIŞ")</f>
        <v>#REF!</v>
      </c>
      <c r="BJ297" s="1" t="e">
        <f>#REF!-BH297</f>
        <v>#REF!</v>
      </c>
      <c r="BK297" s="1">
        <v>0</v>
      </c>
      <c r="BM297" s="1">
        <v>0</v>
      </c>
      <c r="BT297" s="8">
        <f t="shared" si="215"/>
        <v>0</v>
      </c>
      <c r="BU297" s="9"/>
      <c r="BV297" s="10"/>
      <c r="BW297" s="11"/>
      <c r="BX297" s="11"/>
      <c r="BY297" s="11"/>
      <c r="BZ297" s="11"/>
      <c r="CA297" s="11"/>
      <c r="CB297" s="12"/>
      <c r="CC297" s="13"/>
      <c r="CD297" s="14"/>
      <c r="CL297" s="11"/>
      <c r="CM297" s="11"/>
      <c r="CN297" s="11"/>
      <c r="CO297" s="11"/>
      <c r="CP297" s="11"/>
      <c r="CQ297" s="54"/>
      <c r="CR297" s="55"/>
      <c r="CS297" s="54"/>
      <c r="CT297" s="55"/>
      <c r="CU297" s="48"/>
      <c r="CV297" s="48"/>
      <c r="CW297" s="49"/>
      <c r="CX297" s="49"/>
    </row>
    <row r="298" spans="1:102" x14ac:dyDescent="0.25">
      <c r="A298" s="88" t="s">
        <v>319</v>
      </c>
      <c r="B298" s="88" t="s">
        <v>320</v>
      </c>
      <c r="C298" s="1" t="s">
        <v>320</v>
      </c>
      <c r="D298" s="2" t="s">
        <v>58</v>
      </c>
      <c r="E298" s="2" t="s">
        <v>58</v>
      </c>
      <c r="F298" s="3" t="e">
        <f>IF(BE298="S",
IF(#REF!+BM298=2018,
IF(#REF!=1,"18-19/1",
IF(#REF!=2,"18-19/2",
IF(#REF!=3,"19-20/1",
IF(#REF!=4,"19-20/2",
IF(#REF!=5,"20-21/1",
IF(#REF!=6,"20-21/2",
IF(#REF!=7,"21-22/1",
IF(#REF!=8,"21-22/2","Hata1")))))))),
IF(#REF!+BM298=2019,
IF(#REF!=1,"19-20/1",
IF(#REF!=2,"19-20/2",
IF(#REF!=3,"20-21/1",
IF(#REF!=4,"20-21/2",
IF(#REF!=5,"21-22/1",
IF(#REF!=6,"21-22/2",
IF(#REF!=7,"22-23/1",
IF(#REF!=8,"22-23/2","Hata2")))))))),
IF(#REF!+BM298=2020,
IF(#REF!=1,"20-21/1",
IF(#REF!=2,"20-21/2",
IF(#REF!=3,"21-22/1",
IF(#REF!=4,"21-22/2",
IF(#REF!=5,"22-23/1",
IF(#REF!=6,"22-23/2",
IF(#REF!=7,"23-24/1",
IF(#REF!=8,"23-24/2","Hata3")))))))),
IF(#REF!+BM298=2021,
IF(#REF!=1,"21-22/1",
IF(#REF!=2,"21-22/2",
IF(#REF!=3,"22-23/1",
IF(#REF!=4,"22-23/2",
IF(#REF!=5,"23-24/1",
IF(#REF!=6,"23-24/2",
IF(#REF!=7,"24-25/1",
IF(#REF!=8,"24-25/2","Hata4")))))))),
IF(#REF!+BM298=2022,
IF(#REF!=1,"22-23/1",
IF(#REF!=2,"22-23/2",
IF(#REF!=3,"23-24/1",
IF(#REF!=4,"23-24/2",
IF(#REF!=5,"24-25/1",
IF(#REF!=6,"24-25/2",
IF(#REF!=7,"25-26/1",
IF(#REF!=8,"25-26/2","Hata5")))))))),
IF(#REF!+BM298=2023,
IF(#REF!=1,"23-24/1",
IF(#REF!=2,"23-24/2",
IF(#REF!=3,"24-25/1",
IF(#REF!=4,"24-25/2",
IF(#REF!=5,"25-26/1",
IF(#REF!=6,"25-26/2",
IF(#REF!=7,"26-27/1",
IF(#REF!=8,"26-27/2","Hata6")))))))),
)))))),
IF(BE298="T",
IF(#REF!+BM298=2018,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8" s="88" t="s">
        <v>311</v>
      </c>
      <c r="L298" s="2">
        <v>3610</v>
      </c>
      <c r="N298" s="87">
        <v>6</v>
      </c>
      <c r="O298" s="89">
        <f t="shared" si="229"/>
        <v>5</v>
      </c>
      <c r="P298" s="2">
        <f t="shared" si="230"/>
        <v>6</v>
      </c>
      <c r="Q298" s="2">
        <v>2</v>
      </c>
      <c r="R298" s="2">
        <v>2</v>
      </c>
      <c r="S298" s="2">
        <v>2</v>
      </c>
      <c r="X298" s="90">
        <v>2</v>
      </c>
      <c r="Y298" s="1">
        <f>VLOOKUP(X298,[18]ölçme_sistemleri!I:L,2,FALSE)</f>
        <v>0</v>
      </c>
      <c r="Z298" s="1">
        <f>VLOOKUP(X298,[18]ölçme_sistemleri!I:L,3,FALSE)</f>
        <v>2</v>
      </c>
      <c r="AA298" s="1">
        <f>VLOOKUP(X298,[18]ölçme_sistemleri!I:L,4,FALSE)</f>
        <v>1</v>
      </c>
      <c r="AB298" s="1">
        <f>$O298*[18]ölçme_sistemleri!J$13</f>
        <v>5</v>
      </c>
      <c r="AC298" s="1">
        <f>$O298*[18]ölçme_sistemleri!K$13</f>
        <v>10</v>
      </c>
      <c r="AD298" s="1">
        <f>$O298*[18]ölçme_sistemleri!L$13</f>
        <v>15</v>
      </c>
      <c r="AE298" s="1">
        <f t="shared" si="216"/>
        <v>0</v>
      </c>
      <c r="AF298" s="1">
        <f t="shared" si="217"/>
        <v>20</v>
      </c>
      <c r="AG298" s="1">
        <f t="shared" si="218"/>
        <v>15</v>
      </c>
      <c r="AH298" s="1">
        <f t="shared" si="219"/>
        <v>35</v>
      </c>
      <c r="AI298" s="1">
        <v>11</v>
      </c>
      <c r="AJ298" s="1">
        <f>VLOOKUP(X298,[18]ölçme_sistemleri!I:M,5,FALSE)</f>
        <v>2</v>
      </c>
      <c r="AK298" s="1">
        <f t="shared" si="220"/>
        <v>385</v>
      </c>
      <c r="AL298" s="1">
        <f>AI298*6</f>
        <v>66</v>
      </c>
      <c r="AM298" s="1">
        <f>VLOOKUP(X298,[18]ölçme_sistemleri!I:N,6,FALSE)</f>
        <v>3</v>
      </c>
      <c r="AN298" s="1">
        <v>2</v>
      </c>
      <c r="AO298" s="1">
        <f t="shared" si="221"/>
        <v>6</v>
      </c>
      <c r="AP298" s="1">
        <v>11</v>
      </c>
      <c r="AQ298" s="1">
        <f t="shared" ref="AQ298:AQ329" si="233">AP298*P298</f>
        <v>66</v>
      </c>
      <c r="AR298" s="1">
        <f t="shared" si="222"/>
        <v>173</v>
      </c>
      <c r="AS298" s="1">
        <f t="shared" si="214"/>
        <v>30</v>
      </c>
      <c r="AT298" s="1">
        <f t="shared" si="223"/>
        <v>6</v>
      </c>
      <c r="AU298" s="1">
        <f t="shared" ref="AU298:AU329" si="234">ROUND(AT298-N298,0)</f>
        <v>0</v>
      </c>
      <c r="AV298" s="1">
        <f t="shared" ref="AV298:AV329" si="235">IF(BE298="s",IF(W298=0,0,
IF(W298=1,N298*4*4,
IF(W298=2,0,
IF(W298=3,N298*4*2,
IF(W298=4,0,
IF(W298=5,0,
IF(W298=6,0,
IF(W298=7,0)))))))),
IF(BE298="t",
IF(W298=0,0,
IF(W298=1,N298*4*4*0.8,
IF(W298=2,0,
IF(W298=3,N298*4*2*0.8,
IF(W298=4,0,
IF(W298=5,0,
IF(W298=6,0,
IF(W298=7,0))))))))))</f>
        <v>0</v>
      </c>
      <c r="AW298" s="1">
        <f t="shared" ref="AW298:AW329" si="236">IF(BE298="s",
IF(W298=0,0,
IF(W298=1,0,
IF(W298=2,N298*4*2,
IF(W298=3,N298*4,
IF(W298=4,N298*4,
IF(W298=5,0,
IF(W298=6,0,
IF(W298=7,N298*4)))))))),
IF(BE298="t",
IF(W298=0,0,
IF(W298=1,0,
IF(W298=2,N298*4*2*0.8,
IF(W298=3,N298*4*0.8,
IF(W298=4,N298*4*0.8,
IF(W298=5,0,
IF(W298=6,0,
IF(W298=7,N298*4))))))))))</f>
        <v>0</v>
      </c>
      <c r="AX298" s="1">
        <f t="shared" ref="AX298:AX329" si="237">IF(BE298="s",
IF(W298=0,0,
IF(W298=1,N298*2,
IF(W298=2,N298*2,
IF(W298=3,N298*2,
IF(W298=4,N298*2,
IF(W298=5,N298*2,
IF(W298=6,N298*2,
IF(W298=7,N298*2)))))))),
IF(BE298="t",
IF(W298=0,O298*2*0.8,
IF(W298=1,N298*2*0.8,
IF(W298=2,N298*2*0.8,
IF(W298=3,N298*2*0.8,
IF(W298=4,N298*2*0.8,
IF(W298=5,N298*2*0.8,
IF(W298=6,N298*1*0.8,
IF(W298=7,N298*2))))))))))</f>
        <v>8</v>
      </c>
      <c r="AY298" s="1">
        <f t="shared" si="224"/>
        <v>-27</v>
      </c>
      <c r="AZ298" s="1">
        <f t="shared" ref="AZ298:AZ329" si="238">IF(BE298="s",
IF(W298=0,0,
IF(W298=1,(14-2)*(P298+R298)/4*4,
IF(W298=2,(14-2)*(P298+R298)/4*2,
IF(W298=3,(14-2)*(P298+R298)/4*3,
IF(W298=4,(14-2)*(P298+R298)/4,
IF(W298=5,(14-2)*N298/4,
IF(W298=6,0,
IF(W298=7,(14)*R298)))))))),
IF(BE298="t",
IF(W298=0,0,
IF(W298=1,(11-2)*(P298+R298)/4*4,
IF(W298=2,(11-2)*(P298+R298)/4*2,
IF(W298=3,(11-2)*(P298+R298)/4*3,
IF(W298=4,(11-2)*(P298+R298)/4,
IF(W298=5,(11-2)*N298/4,
IF(W298=6,0,
IF(W298=7,(11)*N298))))))))))</f>
        <v>0</v>
      </c>
      <c r="BA298" s="1">
        <f t="shared" si="225"/>
        <v>-66</v>
      </c>
      <c r="BB298" s="1">
        <f t="shared" si="226"/>
        <v>0</v>
      </c>
      <c r="BC298" s="1">
        <f t="shared" si="227"/>
        <v>-6</v>
      </c>
      <c r="BD298" s="1">
        <f t="shared" si="228"/>
        <v>8</v>
      </c>
      <c r="BE298" s="1" t="s">
        <v>60</v>
      </c>
      <c r="BF298" s="1">
        <f t="shared" si="211"/>
        <v>55</v>
      </c>
      <c r="BG298" s="1">
        <f t="shared" si="231"/>
        <v>63</v>
      </c>
      <c r="BH298" s="1">
        <f t="shared" si="232"/>
        <v>3</v>
      </c>
      <c r="BI298" s="1" t="e">
        <f>IF(BH298-#REF!=0,"DOĞRU","YANLIŞ")</f>
        <v>#REF!</v>
      </c>
      <c r="BJ298" s="1" t="e">
        <f>#REF!-BH298</f>
        <v>#REF!</v>
      </c>
      <c r="BK298" s="1">
        <v>1</v>
      </c>
      <c r="BM298" s="1">
        <v>0</v>
      </c>
      <c r="BT298" s="8">
        <f t="shared" si="215"/>
        <v>22</v>
      </c>
      <c r="BU298" s="17"/>
      <c r="BV298" s="18">
        <v>22</v>
      </c>
      <c r="BW298" s="19"/>
      <c r="BX298" s="19"/>
      <c r="BY298" s="19"/>
      <c r="BZ298" s="19" t="s">
        <v>442</v>
      </c>
      <c r="CA298" s="19"/>
      <c r="CB298" s="20"/>
      <c r="CC298" s="21" t="s">
        <v>443</v>
      </c>
      <c r="CD298" s="23" t="s">
        <v>444</v>
      </c>
      <c r="CL298" s="82"/>
      <c r="CM298" s="82"/>
      <c r="CN298" s="82"/>
      <c r="CO298" s="82"/>
      <c r="CP298" s="82" t="s">
        <v>442</v>
      </c>
      <c r="CQ298" s="84">
        <v>44282</v>
      </c>
      <c r="CR298" s="83" t="s">
        <v>502</v>
      </c>
      <c r="CS298" s="93">
        <v>44296</v>
      </c>
      <c r="CT298" s="91" t="s">
        <v>502</v>
      </c>
      <c r="CU298" s="48"/>
      <c r="CV298" s="48"/>
      <c r="CW298" s="49"/>
      <c r="CX298" s="49"/>
    </row>
    <row r="299" spans="1:102" x14ac:dyDescent="0.25">
      <c r="A299" s="88" t="s">
        <v>321</v>
      </c>
      <c r="B299" s="88" t="s">
        <v>322</v>
      </c>
      <c r="C299" s="1" t="s">
        <v>322</v>
      </c>
      <c r="D299" s="2" t="s">
        <v>58</v>
      </c>
      <c r="E299" s="2" t="s">
        <v>58</v>
      </c>
      <c r="F299" s="3" t="e">
        <f>IF(BE299="S",
IF(#REF!+BM299=2018,
IF(#REF!=1,"18-19/1",
IF(#REF!=2,"18-19/2",
IF(#REF!=3,"19-20/1",
IF(#REF!=4,"19-20/2",
IF(#REF!=5,"20-21/1",
IF(#REF!=6,"20-21/2",
IF(#REF!=7,"21-22/1",
IF(#REF!=8,"21-22/2","Hata1")))))))),
IF(#REF!+BM299=2019,
IF(#REF!=1,"19-20/1",
IF(#REF!=2,"19-20/2",
IF(#REF!=3,"20-21/1",
IF(#REF!=4,"20-21/2",
IF(#REF!=5,"21-22/1",
IF(#REF!=6,"21-22/2",
IF(#REF!=7,"22-23/1",
IF(#REF!=8,"22-23/2","Hata2")))))))),
IF(#REF!+BM299=2020,
IF(#REF!=1,"20-21/1",
IF(#REF!=2,"20-21/2",
IF(#REF!=3,"21-22/1",
IF(#REF!=4,"21-22/2",
IF(#REF!=5,"22-23/1",
IF(#REF!=6,"22-23/2",
IF(#REF!=7,"23-24/1",
IF(#REF!=8,"23-24/2","Hata3")))))))),
IF(#REF!+BM299=2021,
IF(#REF!=1,"21-22/1",
IF(#REF!=2,"21-22/2",
IF(#REF!=3,"22-23/1",
IF(#REF!=4,"22-23/2",
IF(#REF!=5,"23-24/1",
IF(#REF!=6,"23-24/2",
IF(#REF!=7,"24-25/1",
IF(#REF!=8,"24-25/2","Hata4")))))))),
IF(#REF!+BM299=2022,
IF(#REF!=1,"22-23/1",
IF(#REF!=2,"22-23/2",
IF(#REF!=3,"23-24/1",
IF(#REF!=4,"23-24/2",
IF(#REF!=5,"24-25/1",
IF(#REF!=6,"24-25/2",
IF(#REF!=7,"25-26/1",
IF(#REF!=8,"25-26/2","Hata5")))))))),
IF(#REF!+BM299=2023,
IF(#REF!=1,"23-24/1",
IF(#REF!=2,"23-24/2",
IF(#REF!=3,"24-25/1",
IF(#REF!=4,"24-25/2",
IF(#REF!=5,"25-26/1",
IF(#REF!=6,"25-26/2",
IF(#REF!=7,"26-27/1",
IF(#REF!=8,"26-27/2","Hata6")))))))),
)))))),
IF(BE299="T",
IF(#REF!+BM299=2018,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IF(#REF!+BM299=2019,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IF(#REF!+BM299=2020,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IF(#REF!+BM299=2021,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IF(#REF!+BM299=2022,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IF(#REF!+BM299=2023,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299" s="88" t="s">
        <v>311</v>
      </c>
      <c r="L299" s="2">
        <v>3613</v>
      </c>
      <c r="N299" s="87">
        <v>6</v>
      </c>
      <c r="O299" s="89">
        <f t="shared" si="229"/>
        <v>5</v>
      </c>
      <c r="P299" s="2">
        <f t="shared" si="230"/>
        <v>6</v>
      </c>
      <c r="Q299" s="2">
        <v>2</v>
      </c>
      <c r="R299" s="2">
        <v>2</v>
      </c>
      <c r="S299" s="2">
        <v>2</v>
      </c>
      <c r="X299" s="90">
        <v>2</v>
      </c>
      <c r="Y299" s="1">
        <f>VLOOKUP(X299,[39]ölçme_sistemleri!I:L,2,FALSE)</f>
        <v>0</v>
      </c>
      <c r="Z299" s="1">
        <f>VLOOKUP(X299,[39]ölçme_sistemleri!I:L,3,FALSE)</f>
        <v>2</v>
      </c>
      <c r="AA299" s="1">
        <f>VLOOKUP(X299,[39]ölçme_sistemleri!I:L,4,FALSE)</f>
        <v>1</v>
      </c>
      <c r="AB299" s="1">
        <f>$O299*[39]ölçme_sistemleri!J$13</f>
        <v>5</v>
      </c>
      <c r="AC299" s="1">
        <f>$O299*[39]ölçme_sistemleri!K$13</f>
        <v>10</v>
      </c>
      <c r="AD299" s="1">
        <f>$O299*[39]ölçme_sistemleri!L$13</f>
        <v>15</v>
      </c>
      <c r="AE299" s="1">
        <f t="shared" si="216"/>
        <v>0</v>
      </c>
      <c r="AF299" s="1">
        <f t="shared" si="217"/>
        <v>20</v>
      </c>
      <c r="AG299" s="1">
        <f t="shared" si="218"/>
        <v>15</v>
      </c>
      <c r="AH299" s="1">
        <f t="shared" si="219"/>
        <v>35</v>
      </c>
      <c r="AI299" s="1">
        <v>11</v>
      </c>
      <c r="AJ299" s="1">
        <f>VLOOKUP(X299,[39]ölçme_sistemleri!I:M,5,FALSE)</f>
        <v>2</v>
      </c>
      <c r="AK299" s="1">
        <f t="shared" si="220"/>
        <v>385</v>
      </c>
      <c r="AL299" s="1">
        <f>AI299*6</f>
        <v>66</v>
      </c>
      <c r="AM299" s="1">
        <f>VLOOKUP(X299,[39]ölçme_sistemleri!I:N,6,FALSE)</f>
        <v>3</v>
      </c>
      <c r="AN299" s="1">
        <v>2</v>
      </c>
      <c r="AO299" s="1">
        <f t="shared" si="221"/>
        <v>6</v>
      </c>
      <c r="AP299" s="1">
        <v>11</v>
      </c>
      <c r="AQ299" s="1">
        <f t="shared" si="233"/>
        <v>66</v>
      </c>
      <c r="AR299" s="1">
        <f t="shared" si="222"/>
        <v>173</v>
      </c>
      <c r="AS299" s="1">
        <f t="shared" si="214"/>
        <v>30</v>
      </c>
      <c r="AT299" s="1">
        <f t="shared" si="223"/>
        <v>6</v>
      </c>
      <c r="AU299" s="1">
        <f t="shared" si="234"/>
        <v>0</v>
      </c>
      <c r="AV299" s="1">
        <f t="shared" si="235"/>
        <v>0</v>
      </c>
      <c r="AW299" s="1">
        <f t="shared" si="236"/>
        <v>0</v>
      </c>
      <c r="AX299" s="1">
        <f t="shared" si="237"/>
        <v>8</v>
      </c>
      <c r="AY299" s="1">
        <f t="shared" si="224"/>
        <v>-27</v>
      </c>
      <c r="AZ299" s="1">
        <f t="shared" si="238"/>
        <v>0</v>
      </c>
      <c r="BA299" s="1">
        <f t="shared" si="225"/>
        <v>-66</v>
      </c>
      <c r="BB299" s="1">
        <f t="shared" si="226"/>
        <v>0</v>
      </c>
      <c r="BC299" s="1">
        <f t="shared" si="227"/>
        <v>-6</v>
      </c>
      <c r="BD299" s="1">
        <f t="shared" si="228"/>
        <v>8</v>
      </c>
      <c r="BE299" s="1" t="s">
        <v>60</v>
      </c>
      <c r="BF299" s="1">
        <f t="shared" ref="BF299:BF330" si="239">IF(BL299="A",0,IF(BE299="s",14*O299,IF(BE299="T",11*O299,"HATA")))</f>
        <v>55</v>
      </c>
      <c r="BG299" s="1">
        <f t="shared" si="231"/>
        <v>63</v>
      </c>
      <c r="BH299" s="1">
        <f t="shared" si="232"/>
        <v>3</v>
      </c>
      <c r="BI299" s="1" t="e">
        <f>IF(BH299-#REF!=0,"DOĞRU","YANLIŞ")</f>
        <v>#REF!</v>
      </c>
      <c r="BJ299" s="1" t="e">
        <f>#REF!-BH299</f>
        <v>#REF!</v>
      </c>
      <c r="BK299" s="1">
        <v>1</v>
      </c>
      <c r="BM299" s="1">
        <v>0</v>
      </c>
      <c r="BT299" s="8">
        <f t="shared" si="215"/>
        <v>22</v>
      </c>
      <c r="BU299" s="17"/>
      <c r="BV299" s="18">
        <v>22</v>
      </c>
      <c r="BW299" s="19"/>
      <c r="BX299" s="19"/>
      <c r="BY299" s="19"/>
      <c r="BZ299" s="19" t="s">
        <v>442</v>
      </c>
      <c r="CA299" s="19"/>
      <c r="CB299" s="20"/>
      <c r="CC299" s="21" t="s">
        <v>443</v>
      </c>
      <c r="CD299" s="23" t="s">
        <v>444</v>
      </c>
      <c r="CL299" s="82"/>
      <c r="CM299" s="82"/>
      <c r="CN299" s="82"/>
      <c r="CO299" s="82"/>
      <c r="CP299" s="82" t="s">
        <v>442</v>
      </c>
      <c r="CQ299" s="84">
        <v>44281</v>
      </c>
      <c r="CR299" s="83" t="s">
        <v>503</v>
      </c>
      <c r="CS299" s="93">
        <v>44295</v>
      </c>
      <c r="CT299" s="91" t="s">
        <v>503</v>
      </c>
      <c r="CU299" s="49"/>
      <c r="CV299" s="48"/>
      <c r="CW299" s="49"/>
      <c r="CX299" s="49"/>
    </row>
    <row r="300" spans="1:102" hidden="1" x14ac:dyDescent="0.25">
      <c r="A300" s="1" t="s">
        <v>323</v>
      </c>
      <c r="B300" s="1" t="s">
        <v>324</v>
      </c>
      <c r="C300" s="1" t="s">
        <v>324</v>
      </c>
      <c r="D300" s="2" t="s">
        <v>63</v>
      </c>
      <c r="E300" s="2" t="s">
        <v>63</v>
      </c>
      <c r="F300" s="3" t="e">
        <f>IF(BE300="S",
IF(#REF!+BM300=2018,
IF(#REF!=1,"18-19/1",
IF(#REF!=2,"18-19/2",
IF(#REF!=3,"19-20/1",
IF(#REF!=4,"19-20/2",
IF(#REF!=5,"20-21/1",
IF(#REF!=6,"20-21/2",
IF(#REF!=7,"21-22/1",
IF(#REF!=8,"21-22/2","Hata1")))))))),
IF(#REF!+BM300=2019,
IF(#REF!=1,"19-20/1",
IF(#REF!=2,"19-20/2",
IF(#REF!=3,"20-21/1",
IF(#REF!=4,"20-21/2",
IF(#REF!=5,"21-22/1",
IF(#REF!=6,"21-22/2",
IF(#REF!=7,"22-23/1",
IF(#REF!=8,"22-23/2","Hata2")))))))),
IF(#REF!+BM300=2020,
IF(#REF!=1,"20-21/1",
IF(#REF!=2,"20-21/2",
IF(#REF!=3,"21-22/1",
IF(#REF!=4,"21-22/2",
IF(#REF!=5,"22-23/1",
IF(#REF!=6,"22-23/2",
IF(#REF!=7,"23-24/1",
IF(#REF!=8,"23-24/2","Hata3")))))))),
IF(#REF!+BM300=2021,
IF(#REF!=1,"21-22/1",
IF(#REF!=2,"21-22/2",
IF(#REF!=3,"22-23/1",
IF(#REF!=4,"22-23/2",
IF(#REF!=5,"23-24/1",
IF(#REF!=6,"23-24/2",
IF(#REF!=7,"24-25/1",
IF(#REF!=8,"24-25/2","Hata4")))))))),
IF(#REF!+BM300=2022,
IF(#REF!=1,"22-23/1",
IF(#REF!=2,"22-23/2",
IF(#REF!=3,"23-24/1",
IF(#REF!=4,"23-24/2",
IF(#REF!=5,"24-25/1",
IF(#REF!=6,"24-25/2",
IF(#REF!=7,"25-26/1",
IF(#REF!=8,"25-26/2","Hata5")))))))),
IF(#REF!+BM300=2023,
IF(#REF!=1,"23-24/1",
IF(#REF!=2,"23-24/2",
IF(#REF!=3,"24-25/1",
IF(#REF!=4,"24-25/2",
IF(#REF!=5,"25-26/1",
IF(#REF!=6,"25-26/2",
IF(#REF!=7,"26-27/1",
IF(#REF!=8,"26-27/2","Hata6")))))))),
)))))),
IF(BE300="T",
IF(#REF!+BM300=2018,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0" s="1" t="s">
        <v>311</v>
      </c>
      <c r="L300" s="2">
        <v>1426</v>
      </c>
      <c r="N300" s="2">
        <v>2</v>
      </c>
      <c r="O300" s="6">
        <f t="shared" si="229"/>
        <v>2</v>
      </c>
      <c r="P300" s="2">
        <f t="shared" si="230"/>
        <v>2</v>
      </c>
      <c r="Q300" s="2">
        <v>0</v>
      </c>
      <c r="R300" s="2">
        <v>0</v>
      </c>
      <c r="S300" s="2">
        <v>2</v>
      </c>
      <c r="X300" s="3">
        <v>4</v>
      </c>
      <c r="Y300" s="1">
        <f>VLOOKUP(X300,[39]ölçme_sistemleri!I:L,2,FALSE)</f>
        <v>0</v>
      </c>
      <c r="Z300" s="1">
        <f>VLOOKUP(X300,[39]ölçme_sistemleri!I:L,3,FALSE)</f>
        <v>1</v>
      </c>
      <c r="AA300" s="1">
        <f>VLOOKUP(X300,[39]ölçme_sistemleri!I:L,4,FALSE)</f>
        <v>1</v>
      </c>
      <c r="AB300" s="1">
        <f>$O300*[39]ölçme_sistemleri!J$13</f>
        <v>2</v>
      </c>
      <c r="AC300" s="1">
        <f>$O300*[39]ölçme_sistemleri!K$13</f>
        <v>4</v>
      </c>
      <c r="AD300" s="1">
        <f>$O300*[39]ölçme_sistemleri!L$13</f>
        <v>6</v>
      </c>
      <c r="AE300" s="1">
        <f t="shared" si="216"/>
        <v>0</v>
      </c>
      <c r="AF300" s="1">
        <f t="shared" si="217"/>
        <v>4</v>
      </c>
      <c r="AG300" s="1">
        <f t="shared" si="218"/>
        <v>6</v>
      </c>
      <c r="AH300" s="1">
        <f t="shared" si="219"/>
        <v>10</v>
      </c>
      <c r="AI300" s="1">
        <v>11</v>
      </c>
      <c r="AJ300" s="1">
        <f>VLOOKUP(X300,[39]ölçme_sistemleri!I:M,5,FALSE)</f>
        <v>1</v>
      </c>
      <c r="AK300" s="1">
        <f t="shared" si="220"/>
        <v>110</v>
      </c>
      <c r="AL300" s="1">
        <f>((Q300+S300)*AI300)</f>
        <v>22</v>
      </c>
      <c r="AM300" s="1">
        <f>VLOOKUP(X300,[39]ölçme_sistemleri!I:N,6,FALSE)</f>
        <v>2</v>
      </c>
      <c r="AN300" s="1">
        <v>2</v>
      </c>
      <c r="AO300" s="1">
        <f t="shared" si="221"/>
        <v>4</v>
      </c>
      <c r="AP300" s="1">
        <v>11</v>
      </c>
      <c r="AQ300" s="1">
        <f t="shared" si="233"/>
        <v>22</v>
      </c>
      <c r="AR300" s="1">
        <f t="shared" si="222"/>
        <v>58</v>
      </c>
      <c r="AS300" s="1">
        <f t="shared" si="214"/>
        <v>30</v>
      </c>
      <c r="AT300" s="1">
        <f t="shared" si="223"/>
        <v>2</v>
      </c>
      <c r="AU300" s="1">
        <f t="shared" si="234"/>
        <v>0</v>
      </c>
      <c r="AV300" s="1">
        <f t="shared" si="235"/>
        <v>0</v>
      </c>
      <c r="AW300" s="1">
        <f t="shared" si="236"/>
        <v>0</v>
      </c>
      <c r="AX300" s="1">
        <f t="shared" si="237"/>
        <v>3.2</v>
      </c>
      <c r="AY300" s="1">
        <f t="shared" si="224"/>
        <v>-6.8</v>
      </c>
      <c r="AZ300" s="1">
        <f t="shared" si="238"/>
        <v>0</v>
      </c>
      <c r="BA300" s="1">
        <f t="shared" si="225"/>
        <v>-22</v>
      </c>
      <c r="BB300" s="1">
        <f t="shared" si="226"/>
        <v>0</v>
      </c>
      <c r="BC300" s="1">
        <f t="shared" si="227"/>
        <v>-4</v>
      </c>
      <c r="BD300" s="1">
        <f t="shared" si="228"/>
        <v>3.2</v>
      </c>
      <c r="BE300" s="1" t="s">
        <v>60</v>
      </c>
      <c r="BF300" s="1">
        <f t="shared" si="239"/>
        <v>22</v>
      </c>
      <c r="BG300" s="1">
        <f t="shared" si="231"/>
        <v>25.2</v>
      </c>
      <c r="BH300" s="1">
        <f t="shared" si="232"/>
        <v>1</v>
      </c>
      <c r="BI300" s="1" t="e">
        <f>IF(BH300-#REF!=0,"DOĞRU","YANLIŞ")</f>
        <v>#REF!</v>
      </c>
      <c r="BJ300" s="1" t="e">
        <f>#REF!-BH300</f>
        <v>#REF!</v>
      </c>
      <c r="BK300" s="1">
        <v>0</v>
      </c>
      <c r="BM300" s="1">
        <v>0</v>
      </c>
      <c r="BT300" s="8">
        <f t="shared" si="215"/>
        <v>0</v>
      </c>
      <c r="BU300" s="9"/>
      <c r="BV300" s="10"/>
      <c r="BW300" s="11"/>
      <c r="BX300" s="11"/>
      <c r="BY300" s="11"/>
      <c r="BZ300" s="11"/>
      <c r="CA300" s="11"/>
      <c r="CB300" s="12"/>
      <c r="CC300" s="13"/>
      <c r="CD300" s="14"/>
      <c r="CL300" s="11"/>
      <c r="CM300" s="11"/>
      <c r="CN300" s="11"/>
      <c r="CO300" s="11"/>
      <c r="CP300" s="11"/>
      <c r="CQ300" s="49"/>
      <c r="CR300" s="46"/>
      <c r="CS300" s="49"/>
      <c r="CT300" s="48"/>
      <c r="CU300" s="49"/>
      <c r="CV300" s="48"/>
      <c r="CW300" s="49"/>
      <c r="CX300" s="49"/>
    </row>
    <row r="301" spans="1:102" hidden="1" x14ac:dyDescent="0.25">
      <c r="A301" s="1" t="s">
        <v>325</v>
      </c>
      <c r="B301" s="1" t="s">
        <v>326</v>
      </c>
      <c r="C301" s="1" t="s">
        <v>326</v>
      </c>
      <c r="D301" s="2" t="s">
        <v>63</v>
      </c>
      <c r="E301" s="2" t="s">
        <v>63</v>
      </c>
      <c r="F301" s="3" t="e">
        <f>IF(BE301="S",
IF(#REF!+BM301=2018,
IF(#REF!=1,"18-19/1",
IF(#REF!=2,"18-19/2",
IF(#REF!=3,"19-20/1",
IF(#REF!=4,"19-20/2",
IF(#REF!=5,"20-21/1",
IF(#REF!=6,"20-21/2",
IF(#REF!=7,"21-22/1",
IF(#REF!=8,"21-22/2","Hata1")))))))),
IF(#REF!+BM301=2019,
IF(#REF!=1,"19-20/1",
IF(#REF!=2,"19-20/2",
IF(#REF!=3,"20-21/1",
IF(#REF!=4,"20-21/2",
IF(#REF!=5,"21-22/1",
IF(#REF!=6,"21-22/2",
IF(#REF!=7,"22-23/1",
IF(#REF!=8,"22-23/2","Hata2")))))))),
IF(#REF!+BM301=2020,
IF(#REF!=1,"20-21/1",
IF(#REF!=2,"20-21/2",
IF(#REF!=3,"21-22/1",
IF(#REF!=4,"21-22/2",
IF(#REF!=5,"22-23/1",
IF(#REF!=6,"22-23/2",
IF(#REF!=7,"23-24/1",
IF(#REF!=8,"23-24/2","Hata3")))))))),
IF(#REF!+BM301=2021,
IF(#REF!=1,"21-22/1",
IF(#REF!=2,"21-22/2",
IF(#REF!=3,"22-23/1",
IF(#REF!=4,"22-23/2",
IF(#REF!=5,"23-24/1",
IF(#REF!=6,"23-24/2",
IF(#REF!=7,"24-25/1",
IF(#REF!=8,"24-25/2","Hata4")))))))),
IF(#REF!+BM301=2022,
IF(#REF!=1,"22-23/1",
IF(#REF!=2,"22-23/2",
IF(#REF!=3,"23-24/1",
IF(#REF!=4,"23-24/2",
IF(#REF!=5,"24-25/1",
IF(#REF!=6,"24-25/2",
IF(#REF!=7,"25-26/1",
IF(#REF!=8,"25-26/2","Hata5")))))))),
IF(#REF!+BM301=2023,
IF(#REF!=1,"23-24/1",
IF(#REF!=2,"23-24/2",
IF(#REF!=3,"24-25/1",
IF(#REF!=4,"24-25/2",
IF(#REF!=5,"25-26/1",
IF(#REF!=6,"25-26/2",
IF(#REF!=7,"26-27/1",
IF(#REF!=8,"26-27/2","Hata6")))))))),
)))))),
IF(BE301="T",
IF(#REF!+BM301=2018,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1" s="1" t="s">
        <v>311</v>
      </c>
      <c r="L301" s="2">
        <v>3561</v>
      </c>
      <c r="N301" s="2">
        <v>4</v>
      </c>
      <c r="O301" s="6">
        <f t="shared" si="229"/>
        <v>4</v>
      </c>
      <c r="P301" s="2">
        <f t="shared" si="230"/>
        <v>4</v>
      </c>
      <c r="Q301" s="2">
        <v>0</v>
      </c>
      <c r="R301" s="2">
        <v>0</v>
      </c>
      <c r="S301" s="2">
        <v>4</v>
      </c>
      <c r="X301" s="3">
        <v>4</v>
      </c>
      <c r="Y301" s="1">
        <f>VLOOKUP(X301,[38]ölçme_sistemleri!I:L,2,FALSE)</f>
        <v>0</v>
      </c>
      <c r="Z301" s="1">
        <f>VLOOKUP(X301,[38]ölçme_sistemleri!I:L,3,FALSE)</f>
        <v>1</v>
      </c>
      <c r="AA301" s="1">
        <f>VLOOKUP(X301,[38]ölçme_sistemleri!I:L,4,FALSE)</f>
        <v>1</v>
      </c>
      <c r="AB301" s="1">
        <f>$O301*[38]ölçme_sistemleri!J$13</f>
        <v>4</v>
      </c>
      <c r="AC301" s="1">
        <f>$O301*[38]ölçme_sistemleri!K$13</f>
        <v>8</v>
      </c>
      <c r="AD301" s="1">
        <f>$O301*[38]ölçme_sistemleri!L$13</f>
        <v>12</v>
      </c>
      <c r="AE301" s="1">
        <f t="shared" si="216"/>
        <v>0</v>
      </c>
      <c r="AF301" s="1">
        <f t="shared" si="217"/>
        <v>8</v>
      </c>
      <c r="AG301" s="1">
        <f t="shared" si="218"/>
        <v>12</v>
      </c>
      <c r="AH301" s="1">
        <f t="shared" si="219"/>
        <v>20</v>
      </c>
      <c r="AI301" s="1">
        <v>11</v>
      </c>
      <c r="AJ301" s="1">
        <f>VLOOKUP(X301,[38]ölçme_sistemleri!I:M,5,FALSE)</f>
        <v>1</v>
      </c>
      <c r="AK301" s="1">
        <f t="shared" si="220"/>
        <v>220</v>
      </c>
      <c r="AL301" s="1">
        <f>((Q301+S301)*AI301)</f>
        <v>44</v>
      </c>
      <c r="AM301" s="1">
        <f>VLOOKUP(X301,[38]ölçme_sistemleri!I:N,6,FALSE)</f>
        <v>2</v>
      </c>
      <c r="AN301" s="1">
        <v>2</v>
      </c>
      <c r="AO301" s="1">
        <f t="shared" si="221"/>
        <v>4</v>
      </c>
      <c r="AP301" s="1">
        <v>11</v>
      </c>
      <c r="AQ301" s="1">
        <f t="shared" si="233"/>
        <v>44</v>
      </c>
      <c r="AR301" s="1">
        <f t="shared" si="222"/>
        <v>112</v>
      </c>
      <c r="AS301" s="1">
        <f t="shared" si="214"/>
        <v>30</v>
      </c>
      <c r="AT301" s="1">
        <f t="shared" si="223"/>
        <v>4</v>
      </c>
      <c r="AU301" s="1">
        <f t="shared" si="234"/>
        <v>0</v>
      </c>
      <c r="AV301" s="1">
        <f t="shared" si="235"/>
        <v>0</v>
      </c>
      <c r="AW301" s="1">
        <f t="shared" si="236"/>
        <v>0</v>
      </c>
      <c r="AX301" s="1">
        <f t="shared" si="237"/>
        <v>6.4</v>
      </c>
      <c r="AY301" s="1">
        <f t="shared" si="224"/>
        <v>-13.6</v>
      </c>
      <c r="AZ301" s="1">
        <f t="shared" si="238"/>
        <v>0</v>
      </c>
      <c r="BA301" s="1">
        <f t="shared" si="225"/>
        <v>-44</v>
      </c>
      <c r="BB301" s="1">
        <f t="shared" si="226"/>
        <v>0</v>
      </c>
      <c r="BC301" s="1">
        <f t="shared" si="227"/>
        <v>-4</v>
      </c>
      <c r="BD301" s="1">
        <f t="shared" si="228"/>
        <v>6.4</v>
      </c>
      <c r="BE301" s="1" t="s">
        <v>60</v>
      </c>
      <c r="BF301" s="1">
        <f t="shared" si="239"/>
        <v>44</v>
      </c>
      <c r="BG301" s="1">
        <f t="shared" si="231"/>
        <v>50.4</v>
      </c>
      <c r="BH301" s="1">
        <f t="shared" si="232"/>
        <v>2</v>
      </c>
      <c r="BI301" s="1" t="e">
        <f>IF(BH301-#REF!=0,"DOĞRU","YANLIŞ")</f>
        <v>#REF!</v>
      </c>
      <c r="BJ301" s="1" t="e">
        <f>#REF!-BH301</f>
        <v>#REF!</v>
      </c>
      <c r="BK301" s="1">
        <v>0</v>
      </c>
      <c r="BM301" s="1">
        <v>0</v>
      </c>
      <c r="BT301" s="8">
        <f t="shared" si="215"/>
        <v>0</v>
      </c>
      <c r="BU301" s="9"/>
      <c r="BV301" s="10"/>
      <c r="BW301" s="11"/>
      <c r="BX301" s="11"/>
      <c r="BY301" s="11"/>
      <c r="BZ301" s="11"/>
      <c r="CA301" s="11"/>
      <c r="CB301" s="12"/>
      <c r="CC301" s="13"/>
      <c r="CD301" s="14"/>
      <c r="CL301" s="11"/>
      <c r="CM301" s="11"/>
      <c r="CN301" s="11"/>
      <c r="CO301" s="11"/>
      <c r="CP301" s="11"/>
      <c r="CQ301" s="54"/>
      <c r="CR301" s="46"/>
      <c r="CS301" s="48"/>
      <c r="CT301" s="48"/>
      <c r="CU301" s="48"/>
      <c r="CV301" s="48"/>
      <c r="CW301" s="49"/>
      <c r="CX301" s="49"/>
    </row>
    <row r="302" spans="1:102" hidden="1" x14ac:dyDescent="0.25">
      <c r="A302" s="1" t="s">
        <v>327</v>
      </c>
      <c r="B302" s="1" t="s">
        <v>328</v>
      </c>
      <c r="C302" s="1" t="s">
        <v>328</v>
      </c>
      <c r="D302" s="2" t="s">
        <v>63</v>
      </c>
      <c r="E302" s="2" t="s">
        <v>63</v>
      </c>
      <c r="F302" s="3" t="e">
        <f>IF(BE302="S",
IF(#REF!+BM302=2018,
IF(#REF!=1,"18-19/1",
IF(#REF!=2,"18-19/2",
IF(#REF!=3,"19-20/1",
IF(#REF!=4,"19-20/2",
IF(#REF!=5,"20-21/1",
IF(#REF!=6,"20-21/2",
IF(#REF!=7,"21-22/1",
IF(#REF!=8,"21-22/2","Hata1")))))))),
IF(#REF!+BM302=2019,
IF(#REF!=1,"19-20/1",
IF(#REF!=2,"19-20/2",
IF(#REF!=3,"20-21/1",
IF(#REF!=4,"20-21/2",
IF(#REF!=5,"21-22/1",
IF(#REF!=6,"21-22/2",
IF(#REF!=7,"22-23/1",
IF(#REF!=8,"22-23/2","Hata2")))))))),
IF(#REF!+BM302=2020,
IF(#REF!=1,"20-21/1",
IF(#REF!=2,"20-21/2",
IF(#REF!=3,"21-22/1",
IF(#REF!=4,"21-22/2",
IF(#REF!=5,"22-23/1",
IF(#REF!=6,"22-23/2",
IF(#REF!=7,"23-24/1",
IF(#REF!=8,"23-24/2","Hata3")))))))),
IF(#REF!+BM302=2021,
IF(#REF!=1,"21-22/1",
IF(#REF!=2,"21-22/2",
IF(#REF!=3,"22-23/1",
IF(#REF!=4,"22-23/2",
IF(#REF!=5,"23-24/1",
IF(#REF!=6,"23-24/2",
IF(#REF!=7,"24-25/1",
IF(#REF!=8,"24-25/2","Hata4")))))))),
IF(#REF!+BM302=2022,
IF(#REF!=1,"22-23/1",
IF(#REF!=2,"22-23/2",
IF(#REF!=3,"23-24/1",
IF(#REF!=4,"23-24/2",
IF(#REF!=5,"24-25/1",
IF(#REF!=6,"24-25/2",
IF(#REF!=7,"25-26/1",
IF(#REF!=8,"25-26/2","Hata5")))))))),
IF(#REF!+BM302=2023,
IF(#REF!=1,"23-24/1",
IF(#REF!=2,"23-24/2",
IF(#REF!=3,"24-25/1",
IF(#REF!=4,"24-25/2",
IF(#REF!=5,"25-26/1",
IF(#REF!=6,"25-26/2",
IF(#REF!=7,"26-27/1",
IF(#REF!=8,"26-27/2","Hata6")))))))),
)))))),
IF(BE302="T",
IF(#REF!+BM302=2018,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2" s="1" t="s">
        <v>311</v>
      </c>
      <c r="L302" s="2">
        <v>3596</v>
      </c>
      <c r="N302" s="2">
        <v>4</v>
      </c>
      <c r="O302" s="6">
        <f t="shared" si="229"/>
        <v>4</v>
      </c>
      <c r="P302" s="2">
        <f t="shared" si="230"/>
        <v>4</v>
      </c>
      <c r="Q302" s="2">
        <v>4</v>
      </c>
      <c r="R302" s="2">
        <v>0</v>
      </c>
      <c r="S302" s="2">
        <v>0</v>
      </c>
      <c r="X302" s="3">
        <v>4</v>
      </c>
      <c r="Y302" s="1">
        <f>VLOOKUP(X302,[38]ölçme_sistemleri!I:L,2,FALSE)</f>
        <v>0</v>
      </c>
      <c r="Z302" s="1">
        <f>VLOOKUP(X302,[38]ölçme_sistemleri!I:L,3,FALSE)</f>
        <v>1</v>
      </c>
      <c r="AA302" s="1">
        <f>VLOOKUP(X302,[38]ölçme_sistemleri!I:L,4,FALSE)</f>
        <v>1</v>
      </c>
      <c r="AB302" s="1">
        <f>$O302*[38]ölçme_sistemleri!J$13</f>
        <v>4</v>
      </c>
      <c r="AC302" s="1">
        <f>$O302*[38]ölçme_sistemleri!K$13</f>
        <v>8</v>
      </c>
      <c r="AD302" s="1">
        <f>$O302*[38]ölçme_sistemleri!L$13</f>
        <v>12</v>
      </c>
      <c r="AE302" s="1">
        <f t="shared" si="216"/>
        <v>0</v>
      </c>
      <c r="AF302" s="1">
        <f t="shared" si="217"/>
        <v>8</v>
      </c>
      <c r="AG302" s="1">
        <f t="shared" si="218"/>
        <v>12</v>
      </c>
      <c r="AH302" s="1">
        <f t="shared" si="219"/>
        <v>20</v>
      </c>
      <c r="AI302" s="1">
        <v>11</v>
      </c>
      <c r="AJ302" s="1">
        <f>VLOOKUP(X302,[38]ölçme_sistemleri!I:M,5,FALSE)</f>
        <v>1</v>
      </c>
      <c r="AK302" s="1">
        <f t="shared" si="220"/>
        <v>220</v>
      </c>
      <c r="AL302" s="1">
        <f>((Q302+S302)*AI302)</f>
        <v>44</v>
      </c>
      <c r="AM302" s="1">
        <f>VLOOKUP(X302,[38]ölçme_sistemleri!I:N,6,FALSE)</f>
        <v>2</v>
      </c>
      <c r="AN302" s="1">
        <v>2</v>
      </c>
      <c r="AO302" s="1">
        <f t="shared" si="221"/>
        <v>4</v>
      </c>
      <c r="AP302" s="1">
        <v>11</v>
      </c>
      <c r="AQ302" s="1">
        <f t="shared" si="233"/>
        <v>44</v>
      </c>
      <c r="AR302" s="1">
        <f t="shared" si="222"/>
        <v>112</v>
      </c>
      <c r="AS302" s="1">
        <f t="shared" si="214"/>
        <v>30</v>
      </c>
      <c r="AT302" s="1">
        <f t="shared" si="223"/>
        <v>4</v>
      </c>
      <c r="AU302" s="1">
        <f t="shared" si="234"/>
        <v>0</v>
      </c>
      <c r="AV302" s="1">
        <f t="shared" si="235"/>
        <v>0</v>
      </c>
      <c r="AW302" s="1">
        <f t="shared" si="236"/>
        <v>0</v>
      </c>
      <c r="AX302" s="1">
        <f t="shared" si="237"/>
        <v>6.4</v>
      </c>
      <c r="AY302" s="1">
        <f t="shared" si="224"/>
        <v>-13.6</v>
      </c>
      <c r="AZ302" s="1">
        <f t="shared" si="238"/>
        <v>0</v>
      </c>
      <c r="BA302" s="1">
        <f t="shared" si="225"/>
        <v>-44</v>
      </c>
      <c r="BB302" s="1">
        <f t="shared" si="226"/>
        <v>0</v>
      </c>
      <c r="BC302" s="1">
        <f t="shared" si="227"/>
        <v>-4</v>
      </c>
      <c r="BD302" s="1">
        <f t="shared" si="228"/>
        <v>6.4</v>
      </c>
      <c r="BE302" s="1" t="s">
        <v>60</v>
      </c>
      <c r="BF302" s="1">
        <f t="shared" si="239"/>
        <v>44</v>
      </c>
      <c r="BG302" s="1">
        <f t="shared" si="231"/>
        <v>50.4</v>
      </c>
      <c r="BH302" s="1">
        <f t="shared" si="232"/>
        <v>2</v>
      </c>
      <c r="BI302" s="1" t="e">
        <f>IF(BH302-#REF!=0,"DOĞRU","YANLIŞ")</f>
        <v>#REF!</v>
      </c>
      <c r="BJ302" s="1" t="e">
        <f>#REF!-BH302</f>
        <v>#REF!</v>
      </c>
      <c r="BK302" s="1">
        <v>0</v>
      </c>
      <c r="BM302" s="1">
        <v>0</v>
      </c>
      <c r="BT302" s="8">
        <f t="shared" si="215"/>
        <v>0</v>
      </c>
      <c r="BU302" s="9"/>
      <c r="BV302" s="10"/>
      <c r="BW302" s="11"/>
      <c r="BX302" s="11"/>
      <c r="BY302" s="11"/>
      <c r="BZ302" s="11"/>
      <c r="CA302" s="11"/>
      <c r="CB302" s="12"/>
      <c r="CC302" s="13"/>
      <c r="CD302" s="14"/>
      <c r="CL302" s="11"/>
      <c r="CM302" s="11"/>
      <c r="CN302" s="11"/>
      <c r="CO302" s="11"/>
      <c r="CP302" s="11"/>
      <c r="CQ302" s="46"/>
      <c r="CR302" s="46"/>
      <c r="CS302" s="48"/>
      <c r="CT302" s="48"/>
      <c r="CU302" s="48"/>
      <c r="CV302" s="48"/>
      <c r="CW302" s="49"/>
      <c r="CX302" s="49"/>
    </row>
    <row r="303" spans="1:102" hidden="1" x14ac:dyDescent="0.25">
      <c r="A303" s="1" t="s">
        <v>329</v>
      </c>
      <c r="B303" s="1" t="s">
        <v>80</v>
      </c>
      <c r="C303" s="1" t="s">
        <v>80</v>
      </c>
      <c r="D303" s="2" t="s">
        <v>58</v>
      </c>
      <c r="E303" s="2" t="s">
        <v>58</v>
      </c>
      <c r="F303" s="3" t="e">
        <f>IF(BE303="S",
IF(#REF!+BM303=2018,
IF(#REF!=1,"18-19/1",
IF(#REF!=2,"18-19/2",
IF(#REF!=3,"19-20/1",
IF(#REF!=4,"19-20/2",
IF(#REF!=5,"20-21/1",
IF(#REF!=6,"20-21/2",
IF(#REF!=7,"21-22/1",
IF(#REF!=8,"21-22/2","Hata1")))))))),
IF(#REF!+BM303=2019,
IF(#REF!=1,"19-20/1",
IF(#REF!=2,"19-20/2",
IF(#REF!=3,"20-21/1",
IF(#REF!=4,"20-21/2",
IF(#REF!=5,"21-22/1",
IF(#REF!=6,"21-22/2",
IF(#REF!=7,"22-23/1",
IF(#REF!=8,"22-23/2","Hata2")))))))),
IF(#REF!+BM303=2020,
IF(#REF!=1,"20-21/1",
IF(#REF!=2,"20-21/2",
IF(#REF!=3,"21-22/1",
IF(#REF!=4,"21-22/2",
IF(#REF!=5,"22-23/1",
IF(#REF!=6,"22-23/2",
IF(#REF!=7,"23-24/1",
IF(#REF!=8,"23-24/2","Hata3")))))))),
IF(#REF!+BM303=2021,
IF(#REF!=1,"21-22/1",
IF(#REF!=2,"21-22/2",
IF(#REF!=3,"22-23/1",
IF(#REF!=4,"22-23/2",
IF(#REF!=5,"23-24/1",
IF(#REF!=6,"23-24/2",
IF(#REF!=7,"24-25/1",
IF(#REF!=8,"24-25/2","Hata4")))))))),
IF(#REF!+BM303=2022,
IF(#REF!=1,"22-23/1",
IF(#REF!=2,"22-23/2",
IF(#REF!=3,"23-24/1",
IF(#REF!=4,"23-24/2",
IF(#REF!=5,"24-25/1",
IF(#REF!=6,"24-25/2",
IF(#REF!=7,"25-26/1",
IF(#REF!=8,"25-26/2","Hata5")))))))),
IF(#REF!+BM303=2023,
IF(#REF!=1,"23-24/1",
IF(#REF!=2,"23-24/2",
IF(#REF!=3,"24-25/1",
IF(#REF!=4,"24-25/2",
IF(#REF!=5,"25-26/1",
IF(#REF!=6,"25-26/2",
IF(#REF!=7,"26-27/1",
IF(#REF!=8,"26-27/2","Hata6")))))))),
)))))),
IF(BE303="T",
IF(#REF!+BM303=2018,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3" s="1" t="s">
        <v>311</v>
      </c>
      <c r="L303" s="2">
        <v>3581</v>
      </c>
      <c r="N303" s="2">
        <v>4</v>
      </c>
      <c r="O303" s="6">
        <f t="shared" si="229"/>
        <v>2</v>
      </c>
      <c r="P303" s="2">
        <f t="shared" si="230"/>
        <v>2</v>
      </c>
      <c r="Q303" s="2">
        <v>2</v>
      </c>
      <c r="R303" s="2">
        <v>0</v>
      </c>
      <c r="S303" s="2">
        <v>0</v>
      </c>
      <c r="X303" s="3">
        <v>4</v>
      </c>
      <c r="Y303" s="1">
        <f>VLOOKUP(X303,[38]ölçme_sistemleri!I:L,2,FALSE)</f>
        <v>0</v>
      </c>
      <c r="Z303" s="1">
        <f>VLOOKUP(X303,[38]ölçme_sistemleri!I:L,3,FALSE)</f>
        <v>1</v>
      </c>
      <c r="AA303" s="1">
        <f>VLOOKUP(X303,[38]ölçme_sistemleri!I:L,4,FALSE)</f>
        <v>1</v>
      </c>
      <c r="AB303" s="1">
        <f>$O303*[38]ölçme_sistemleri!J$13</f>
        <v>2</v>
      </c>
      <c r="AC303" s="1">
        <f>$O303*[38]ölçme_sistemleri!K$13</f>
        <v>4</v>
      </c>
      <c r="AD303" s="1">
        <f>$O303*[38]ölçme_sistemleri!L$13</f>
        <v>6</v>
      </c>
      <c r="AE303" s="1">
        <f t="shared" si="216"/>
        <v>0</v>
      </c>
      <c r="AF303" s="1">
        <f t="shared" si="217"/>
        <v>4</v>
      </c>
      <c r="AG303" s="1">
        <f t="shared" si="218"/>
        <v>6</v>
      </c>
      <c r="AH303" s="1">
        <f t="shared" si="219"/>
        <v>10</v>
      </c>
      <c r="AI303" s="1">
        <v>11</v>
      </c>
      <c r="AJ303" s="1">
        <f>VLOOKUP(X303,[38]ölçme_sistemleri!I:M,5,FALSE)</f>
        <v>1</v>
      </c>
      <c r="AK303" s="1">
        <f t="shared" si="220"/>
        <v>110</v>
      </c>
      <c r="AL303" s="1">
        <f>AI303*7</f>
        <v>77</v>
      </c>
      <c r="AM303" s="1">
        <f>VLOOKUP(X303,[38]ölçme_sistemleri!I:N,6,FALSE)</f>
        <v>2</v>
      </c>
      <c r="AN303" s="1">
        <v>2</v>
      </c>
      <c r="AO303" s="1">
        <f t="shared" si="221"/>
        <v>4</v>
      </c>
      <c r="AP303" s="1">
        <v>11</v>
      </c>
      <c r="AQ303" s="1">
        <f t="shared" si="233"/>
        <v>22</v>
      </c>
      <c r="AR303" s="1">
        <f t="shared" si="222"/>
        <v>113</v>
      </c>
      <c r="AS303" s="1">
        <f t="shared" si="214"/>
        <v>30</v>
      </c>
      <c r="AT303" s="1">
        <f t="shared" si="223"/>
        <v>4</v>
      </c>
      <c r="AU303" s="1">
        <f t="shared" si="234"/>
        <v>0</v>
      </c>
      <c r="AV303" s="1">
        <f t="shared" si="235"/>
        <v>0</v>
      </c>
      <c r="AW303" s="1">
        <f t="shared" si="236"/>
        <v>0</v>
      </c>
      <c r="AX303" s="1">
        <f t="shared" si="237"/>
        <v>3.2</v>
      </c>
      <c r="AY303" s="1">
        <f t="shared" si="224"/>
        <v>-6.8</v>
      </c>
      <c r="AZ303" s="1">
        <f t="shared" si="238"/>
        <v>0</v>
      </c>
      <c r="BA303" s="1">
        <f t="shared" si="225"/>
        <v>-77</v>
      </c>
      <c r="BB303" s="1">
        <f t="shared" si="226"/>
        <v>0</v>
      </c>
      <c r="BC303" s="1">
        <f t="shared" si="227"/>
        <v>-4</v>
      </c>
      <c r="BD303" s="1">
        <f t="shared" si="228"/>
        <v>3.2</v>
      </c>
      <c r="BE303" s="1" t="s">
        <v>60</v>
      </c>
      <c r="BF303" s="1">
        <f t="shared" si="239"/>
        <v>22</v>
      </c>
      <c r="BG303" s="1">
        <f t="shared" si="231"/>
        <v>25.2</v>
      </c>
      <c r="BH303" s="1">
        <f t="shared" si="232"/>
        <v>1</v>
      </c>
      <c r="BI303" s="1" t="e">
        <f>IF(BH303-#REF!=0,"DOĞRU","YANLIŞ")</f>
        <v>#REF!</v>
      </c>
      <c r="BJ303" s="1" t="e">
        <f>#REF!-BH303</f>
        <v>#REF!</v>
      </c>
      <c r="BK303" s="1">
        <v>0</v>
      </c>
      <c r="BM303" s="1">
        <v>0</v>
      </c>
      <c r="BT303" s="8">
        <f t="shared" si="215"/>
        <v>0</v>
      </c>
      <c r="BU303" s="9"/>
      <c r="BV303" s="10"/>
      <c r="BW303" s="11"/>
      <c r="BX303" s="11"/>
      <c r="BY303" s="11"/>
      <c r="BZ303" s="11"/>
      <c r="CA303" s="11"/>
      <c r="CB303" s="12"/>
      <c r="CC303" s="13"/>
      <c r="CD303" s="14"/>
      <c r="CL303" s="11"/>
      <c r="CM303" s="11"/>
      <c r="CN303" s="11"/>
      <c r="CO303" s="11"/>
      <c r="CP303" s="11"/>
      <c r="CQ303" s="54"/>
      <c r="CR303" s="46"/>
      <c r="CS303" s="54"/>
      <c r="CT303" s="48"/>
      <c r="CU303" s="54"/>
      <c r="CV303" s="48"/>
      <c r="CW303" s="49"/>
      <c r="CX303" s="49"/>
    </row>
    <row r="304" spans="1:102" hidden="1" x14ac:dyDescent="0.25">
      <c r="A304" s="1" t="s">
        <v>330</v>
      </c>
      <c r="B304" s="1" t="s">
        <v>331</v>
      </c>
      <c r="C304" s="1" t="s">
        <v>331</v>
      </c>
      <c r="D304" s="2" t="s">
        <v>63</v>
      </c>
      <c r="E304" s="2" t="s">
        <v>63</v>
      </c>
      <c r="F304" s="3" t="e">
        <f>IF(BE304="S",
IF(#REF!+BM304=2018,
IF(#REF!=1,"18-19/1",
IF(#REF!=2,"18-19/2",
IF(#REF!=3,"19-20/1",
IF(#REF!=4,"19-20/2",
IF(#REF!=5,"20-21/1",
IF(#REF!=6,"20-21/2",
IF(#REF!=7,"21-22/1",
IF(#REF!=8,"21-22/2","Hata1")))))))),
IF(#REF!+BM304=2019,
IF(#REF!=1,"19-20/1",
IF(#REF!=2,"19-20/2",
IF(#REF!=3,"20-21/1",
IF(#REF!=4,"20-21/2",
IF(#REF!=5,"21-22/1",
IF(#REF!=6,"21-22/2",
IF(#REF!=7,"22-23/1",
IF(#REF!=8,"22-23/2","Hata2")))))))),
IF(#REF!+BM304=2020,
IF(#REF!=1,"20-21/1",
IF(#REF!=2,"20-21/2",
IF(#REF!=3,"21-22/1",
IF(#REF!=4,"21-22/2",
IF(#REF!=5,"22-23/1",
IF(#REF!=6,"22-23/2",
IF(#REF!=7,"23-24/1",
IF(#REF!=8,"23-24/2","Hata3")))))))),
IF(#REF!+BM304=2021,
IF(#REF!=1,"21-22/1",
IF(#REF!=2,"21-22/2",
IF(#REF!=3,"22-23/1",
IF(#REF!=4,"22-23/2",
IF(#REF!=5,"23-24/1",
IF(#REF!=6,"23-24/2",
IF(#REF!=7,"24-25/1",
IF(#REF!=8,"24-25/2","Hata4")))))))),
IF(#REF!+BM304=2022,
IF(#REF!=1,"22-23/1",
IF(#REF!=2,"22-23/2",
IF(#REF!=3,"23-24/1",
IF(#REF!=4,"23-24/2",
IF(#REF!=5,"24-25/1",
IF(#REF!=6,"24-25/2",
IF(#REF!=7,"25-26/1",
IF(#REF!=8,"25-26/2","Hata5")))))))),
IF(#REF!+BM304=2023,
IF(#REF!=1,"23-24/1",
IF(#REF!=2,"23-24/2",
IF(#REF!=3,"24-25/1",
IF(#REF!=4,"24-25/2",
IF(#REF!=5,"25-26/1",
IF(#REF!=6,"25-26/2",
IF(#REF!=7,"26-27/1",
IF(#REF!=8,"26-27/2","Hata6")))))))),
)))))),
IF(BE304="T",
IF(#REF!+BM304=2018,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4" s="1" t="s">
        <v>311</v>
      </c>
      <c r="L304" s="2">
        <v>2550</v>
      </c>
      <c r="N304" s="2">
        <v>4</v>
      </c>
      <c r="O304" s="6">
        <f t="shared" si="229"/>
        <v>3</v>
      </c>
      <c r="P304" s="2">
        <f t="shared" si="230"/>
        <v>4</v>
      </c>
      <c r="Q304" s="2">
        <v>2</v>
      </c>
      <c r="R304" s="2">
        <v>2</v>
      </c>
      <c r="S304" s="2">
        <v>0</v>
      </c>
      <c r="X304" s="3">
        <v>4</v>
      </c>
      <c r="Y304" s="1">
        <f>VLOOKUP(X304,[39]ölçme_sistemleri!I:L,2,FALSE)</f>
        <v>0</v>
      </c>
      <c r="Z304" s="1">
        <f>VLOOKUP(X304,[39]ölçme_sistemleri!I:L,3,FALSE)</f>
        <v>1</v>
      </c>
      <c r="AA304" s="1">
        <f>VLOOKUP(X304,[39]ölçme_sistemleri!I:L,4,FALSE)</f>
        <v>1</v>
      </c>
      <c r="AB304" s="1">
        <f>$O304*[39]ölçme_sistemleri!J$13</f>
        <v>3</v>
      </c>
      <c r="AC304" s="1">
        <f>$O304*[39]ölçme_sistemleri!K$13</f>
        <v>6</v>
      </c>
      <c r="AD304" s="1">
        <f>$O304*[39]ölçme_sistemleri!L$13</f>
        <v>9</v>
      </c>
      <c r="AE304" s="1">
        <f t="shared" si="216"/>
        <v>0</v>
      </c>
      <c r="AF304" s="1">
        <f t="shared" si="217"/>
        <v>6</v>
      </c>
      <c r="AG304" s="1">
        <f t="shared" si="218"/>
        <v>9</v>
      </c>
      <c r="AH304" s="1">
        <f t="shared" si="219"/>
        <v>15</v>
      </c>
      <c r="AI304" s="1">
        <v>11</v>
      </c>
      <c r="AJ304" s="1">
        <f>VLOOKUP(X304,[39]ölçme_sistemleri!I:M,5,FALSE)</f>
        <v>1</v>
      </c>
      <c r="AK304" s="1">
        <f t="shared" si="220"/>
        <v>165</v>
      </c>
      <c r="AL304" s="1">
        <f>AI304*4</f>
        <v>44</v>
      </c>
      <c r="AM304" s="1">
        <f>VLOOKUP(X304,[39]ölçme_sistemleri!I:N,6,FALSE)</f>
        <v>2</v>
      </c>
      <c r="AN304" s="1">
        <v>2</v>
      </c>
      <c r="AO304" s="1">
        <f t="shared" si="221"/>
        <v>4</v>
      </c>
      <c r="AP304" s="1">
        <v>11</v>
      </c>
      <c r="AQ304" s="1">
        <f t="shared" si="233"/>
        <v>44</v>
      </c>
      <c r="AR304" s="1">
        <f t="shared" si="222"/>
        <v>107</v>
      </c>
      <c r="AS304" s="1">
        <f t="shared" si="214"/>
        <v>30</v>
      </c>
      <c r="AT304" s="1">
        <f t="shared" si="223"/>
        <v>4</v>
      </c>
      <c r="AU304" s="1">
        <f t="shared" si="234"/>
        <v>0</v>
      </c>
      <c r="AV304" s="1">
        <f t="shared" si="235"/>
        <v>0</v>
      </c>
      <c r="AW304" s="1">
        <f t="shared" si="236"/>
        <v>0</v>
      </c>
      <c r="AX304" s="1">
        <f t="shared" si="237"/>
        <v>4.8000000000000007</v>
      </c>
      <c r="AY304" s="1">
        <f t="shared" si="224"/>
        <v>-10.199999999999999</v>
      </c>
      <c r="AZ304" s="1">
        <f t="shared" si="238"/>
        <v>0</v>
      </c>
      <c r="BA304" s="1">
        <f t="shared" si="225"/>
        <v>-44</v>
      </c>
      <c r="BB304" s="1">
        <f t="shared" si="226"/>
        <v>0</v>
      </c>
      <c r="BC304" s="1">
        <f t="shared" si="227"/>
        <v>-4</v>
      </c>
      <c r="BD304" s="1">
        <f t="shared" si="228"/>
        <v>4.8000000000000007</v>
      </c>
      <c r="BE304" s="1" t="s">
        <v>60</v>
      </c>
      <c r="BF304" s="1">
        <f t="shared" si="239"/>
        <v>33</v>
      </c>
      <c r="BG304" s="1">
        <f t="shared" si="231"/>
        <v>37.799999999999997</v>
      </c>
      <c r="BH304" s="1">
        <f t="shared" si="232"/>
        <v>2</v>
      </c>
      <c r="BI304" s="1" t="e">
        <f>IF(BH304-#REF!=0,"DOĞRU","YANLIŞ")</f>
        <v>#REF!</v>
      </c>
      <c r="BJ304" s="1" t="e">
        <f>#REF!-BH304</f>
        <v>#REF!</v>
      </c>
      <c r="BK304" s="1">
        <v>0</v>
      </c>
      <c r="BM304" s="1">
        <v>0</v>
      </c>
      <c r="BT304" s="8">
        <f t="shared" si="215"/>
        <v>22</v>
      </c>
      <c r="BU304" s="17"/>
      <c r="BV304" s="18">
        <v>22</v>
      </c>
      <c r="BW304" s="19" t="s">
        <v>442</v>
      </c>
      <c r="BX304" s="19"/>
      <c r="BY304" s="19"/>
      <c r="BZ304" s="19"/>
      <c r="CA304" s="19"/>
      <c r="CB304" s="20"/>
      <c r="CC304" s="21" t="s">
        <v>443</v>
      </c>
      <c r="CD304" s="23"/>
      <c r="CL304" s="11"/>
      <c r="CM304" s="11"/>
      <c r="CN304" s="11"/>
      <c r="CO304" s="11"/>
      <c r="CP304" s="11"/>
      <c r="CQ304" s="54"/>
      <c r="CR304" s="46"/>
      <c r="CS304" s="54"/>
      <c r="CT304" s="48"/>
      <c r="CU304" s="48"/>
      <c r="CV304" s="48"/>
      <c r="CW304" s="49"/>
      <c r="CX304" s="49"/>
    </row>
    <row r="305" spans="1:103" hidden="1" x14ac:dyDescent="0.25">
      <c r="A305" s="1" t="s">
        <v>332</v>
      </c>
      <c r="B305" s="1" t="s">
        <v>333</v>
      </c>
      <c r="C305" s="1" t="s">
        <v>333</v>
      </c>
      <c r="D305" s="2" t="s">
        <v>63</v>
      </c>
      <c r="E305" s="2" t="s">
        <v>63</v>
      </c>
      <c r="F305" s="3" t="e">
        <f>IF(BE305="S",
IF(#REF!+BM305=2018,
IF(#REF!=1,"18-19/1",
IF(#REF!=2,"18-19/2",
IF(#REF!=3,"19-20/1",
IF(#REF!=4,"19-20/2",
IF(#REF!=5,"20-21/1",
IF(#REF!=6,"20-21/2",
IF(#REF!=7,"21-22/1",
IF(#REF!=8,"21-22/2","Hata1")))))))),
IF(#REF!+BM305=2019,
IF(#REF!=1,"19-20/1",
IF(#REF!=2,"19-20/2",
IF(#REF!=3,"20-21/1",
IF(#REF!=4,"20-21/2",
IF(#REF!=5,"21-22/1",
IF(#REF!=6,"21-22/2",
IF(#REF!=7,"22-23/1",
IF(#REF!=8,"22-23/2","Hata2")))))))),
IF(#REF!+BM305=2020,
IF(#REF!=1,"20-21/1",
IF(#REF!=2,"20-21/2",
IF(#REF!=3,"21-22/1",
IF(#REF!=4,"21-22/2",
IF(#REF!=5,"22-23/1",
IF(#REF!=6,"22-23/2",
IF(#REF!=7,"23-24/1",
IF(#REF!=8,"23-24/2","Hata3")))))))),
IF(#REF!+BM305=2021,
IF(#REF!=1,"21-22/1",
IF(#REF!=2,"21-22/2",
IF(#REF!=3,"22-23/1",
IF(#REF!=4,"22-23/2",
IF(#REF!=5,"23-24/1",
IF(#REF!=6,"23-24/2",
IF(#REF!=7,"24-25/1",
IF(#REF!=8,"24-25/2","Hata4")))))))),
IF(#REF!+BM305=2022,
IF(#REF!=1,"22-23/1",
IF(#REF!=2,"22-23/2",
IF(#REF!=3,"23-24/1",
IF(#REF!=4,"23-24/2",
IF(#REF!=5,"24-25/1",
IF(#REF!=6,"24-25/2",
IF(#REF!=7,"25-26/1",
IF(#REF!=8,"25-26/2","Hata5")))))))),
IF(#REF!+BM305=2023,
IF(#REF!=1,"23-24/1",
IF(#REF!=2,"23-24/2",
IF(#REF!=3,"24-25/1",
IF(#REF!=4,"24-25/2",
IF(#REF!=5,"25-26/1",
IF(#REF!=6,"25-26/2",
IF(#REF!=7,"26-27/1",
IF(#REF!=8,"26-27/2","Hata6")))))))),
)))))),
IF(BE305="T",
IF(#REF!+BM305=2018,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5" s="1" t="s">
        <v>311</v>
      </c>
      <c r="L305" s="2">
        <v>3563</v>
      </c>
      <c r="N305" s="2">
        <v>4</v>
      </c>
      <c r="O305" s="6">
        <f t="shared" si="229"/>
        <v>4</v>
      </c>
      <c r="P305" s="2">
        <f t="shared" si="230"/>
        <v>4</v>
      </c>
      <c r="Q305" s="2">
        <v>0</v>
      </c>
      <c r="R305" s="2">
        <v>0</v>
      </c>
      <c r="S305" s="2">
        <v>4</v>
      </c>
      <c r="X305" s="3">
        <v>4</v>
      </c>
      <c r="Y305" s="1">
        <f>VLOOKUP(X305,[38]ölçme_sistemleri!I:L,2,FALSE)</f>
        <v>0</v>
      </c>
      <c r="Z305" s="1">
        <f>VLOOKUP(X305,[38]ölçme_sistemleri!I:L,3,FALSE)</f>
        <v>1</v>
      </c>
      <c r="AA305" s="1">
        <f>VLOOKUP(X305,[38]ölçme_sistemleri!I:L,4,FALSE)</f>
        <v>1</v>
      </c>
      <c r="AB305" s="1">
        <f>$O305*[38]ölçme_sistemleri!J$13</f>
        <v>4</v>
      </c>
      <c r="AC305" s="1">
        <f>$O305*[38]ölçme_sistemleri!K$13</f>
        <v>8</v>
      </c>
      <c r="AD305" s="1">
        <f>$O305*[38]ölçme_sistemleri!L$13</f>
        <v>12</v>
      </c>
      <c r="AE305" s="1">
        <f t="shared" si="216"/>
        <v>0</v>
      </c>
      <c r="AF305" s="1">
        <f t="shared" si="217"/>
        <v>8</v>
      </c>
      <c r="AG305" s="1">
        <f t="shared" si="218"/>
        <v>12</v>
      </c>
      <c r="AH305" s="1">
        <f t="shared" si="219"/>
        <v>20</v>
      </c>
      <c r="AI305" s="1">
        <v>11</v>
      </c>
      <c r="AJ305" s="1">
        <f>VLOOKUP(X305,[38]ölçme_sistemleri!I:M,5,FALSE)</f>
        <v>1</v>
      </c>
      <c r="AK305" s="1">
        <f t="shared" si="220"/>
        <v>220</v>
      </c>
      <c r="AL305" s="1">
        <f>((Q305+S305)*AI305)</f>
        <v>44</v>
      </c>
      <c r="AM305" s="1">
        <f>VLOOKUP(X305,[38]ölçme_sistemleri!I:N,6,FALSE)</f>
        <v>2</v>
      </c>
      <c r="AN305" s="1">
        <v>2</v>
      </c>
      <c r="AO305" s="1">
        <f t="shared" si="221"/>
        <v>4</v>
      </c>
      <c r="AP305" s="1">
        <v>11</v>
      </c>
      <c r="AQ305" s="1">
        <f t="shared" si="233"/>
        <v>44</v>
      </c>
      <c r="AR305" s="1">
        <f t="shared" si="222"/>
        <v>112</v>
      </c>
      <c r="AS305" s="1">
        <f t="shared" si="214"/>
        <v>30</v>
      </c>
      <c r="AT305" s="1">
        <f t="shared" si="223"/>
        <v>4</v>
      </c>
      <c r="AU305" s="1">
        <f t="shared" si="234"/>
        <v>0</v>
      </c>
      <c r="AV305" s="1">
        <f t="shared" si="235"/>
        <v>0</v>
      </c>
      <c r="AW305" s="1">
        <f t="shared" si="236"/>
        <v>0</v>
      </c>
      <c r="AX305" s="1">
        <f t="shared" si="237"/>
        <v>6.4</v>
      </c>
      <c r="AY305" s="1">
        <f t="shared" si="224"/>
        <v>-13.6</v>
      </c>
      <c r="AZ305" s="1">
        <f t="shared" si="238"/>
        <v>0</v>
      </c>
      <c r="BA305" s="1">
        <f t="shared" si="225"/>
        <v>-44</v>
      </c>
      <c r="BB305" s="1">
        <f t="shared" si="226"/>
        <v>0</v>
      </c>
      <c r="BC305" s="1">
        <f t="shared" si="227"/>
        <v>-4</v>
      </c>
      <c r="BD305" s="1">
        <f t="shared" si="228"/>
        <v>6.4</v>
      </c>
      <c r="BE305" s="1" t="s">
        <v>60</v>
      </c>
      <c r="BF305" s="1">
        <f t="shared" si="239"/>
        <v>44</v>
      </c>
      <c r="BG305" s="1">
        <f t="shared" si="231"/>
        <v>50.4</v>
      </c>
      <c r="BH305" s="1">
        <f t="shared" si="232"/>
        <v>2</v>
      </c>
      <c r="BI305" s="1" t="e">
        <f>IF(BH305-#REF!=0,"DOĞRU","YANLIŞ")</f>
        <v>#REF!</v>
      </c>
      <c r="BJ305" s="1" t="e">
        <f>#REF!-BH305</f>
        <v>#REF!</v>
      </c>
      <c r="BK305" s="1">
        <v>0</v>
      </c>
      <c r="BM305" s="1">
        <v>0</v>
      </c>
      <c r="BT305" s="8">
        <f t="shared" si="215"/>
        <v>0</v>
      </c>
      <c r="BU305" s="9"/>
      <c r="BV305" s="10"/>
      <c r="BW305" s="11"/>
      <c r="BX305" s="11"/>
      <c r="BY305" s="11"/>
      <c r="BZ305" s="11"/>
      <c r="CA305" s="11"/>
      <c r="CB305" s="12"/>
      <c r="CC305" s="13"/>
      <c r="CD305" s="14"/>
      <c r="CL305" s="11"/>
      <c r="CM305" s="11"/>
      <c r="CN305" s="11"/>
      <c r="CO305" s="11"/>
      <c r="CP305" s="11"/>
      <c r="CQ305" s="54"/>
      <c r="CR305" s="46"/>
      <c r="CS305" s="48"/>
      <c r="CT305" s="48"/>
      <c r="CU305" s="48"/>
      <c r="CV305" s="48"/>
      <c r="CW305" s="49"/>
      <c r="CX305" s="49"/>
    </row>
    <row r="306" spans="1:103" customFormat="1" hidden="1" x14ac:dyDescent="0.25">
      <c r="A306" s="1" t="s">
        <v>336</v>
      </c>
      <c r="B306" s="1" t="s">
        <v>337</v>
      </c>
      <c r="C306" s="1" t="s">
        <v>337</v>
      </c>
      <c r="D306" s="2" t="s">
        <v>63</v>
      </c>
      <c r="E306" s="2" t="s">
        <v>63</v>
      </c>
      <c r="F306" s="3" t="e">
        <f>IF(BE306="S",
IF(#REF!+BM306=2018,
IF(#REF!=1,"18-19/1",
IF(#REF!=2,"18-19/2",
IF(#REF!=3,"19-20/1",
IF(#REF!=4,"19-20/2",
IF(#REF!=5,"20-21/1",
IF(#REF!=6,"20-21/2",
IF(#REF!=7,"21-22/1",
IF(#REF!=8,"21-22/2","Hata1")))))))),
IF(#REF!+BM306=2019,
IF(#REF!=1,"19-20/1",
IF(#REF!=2,"19-20/2",
IF(#REF!=3,"20-21/1",
IF(#REF!=4,"20-21/2",
IF(#REF!=5,"21-22/1",
IF(#REF!=6,"21-22/2",
IF(#REF!=7,"22-23/1",
IF(#REF!=8,"22-23/2","Hata2")))))))),
IF(#REF!+BM306=2020,
IF(#REF!=1,"20-21/1",
IF(#REF!=2,"20-21/2",
IF(#REF!=3,"21-22/1",
IF(#REF!=4,"21-22/2",
IF(#REF!=5,"22-23/1",
IF(#REF!=6,"22-23/2",
IF(#REF!=7,"23-24/1",
IF(#REF!=8,"23-24/2","Hata3")))))))),
IF(#REF!+BM306=2021,
IF(#REF!=1,"21-22/1",
IF(#REF!=2,"21-22/2",
IF(#REF!=3,"22-23/1",
IF(#REF!=4,"22-23/2",
IF(#REF!=5,"23-24/1",
IF(#REF!=6,"23-24/2",
IF(#REF!=7,"24-25/1",
IF(#REF!=8,"24-25/2","Hata4")))))))),
IF(#REF!+BM306=2022,
IF(#REF!=1,"22-23/1",
IF(#REF!=2,"22-23/2",
IF(#REF!=3,"23-24/1",
IF(#REF!=4,"23-24/2",
IF(#REF!=5,"24-25/1",
IF(#REF!=6,"24-25/2",
IF(#REF!=7,"25-26/1",
IF(#REF!=8,"25-26/2","Hata5")))))))),
IF(#REF!+BM306=2023,
IF(#REF!=1,"23-24/1",
IF(#REF!=2,"23-24/2",
IF(#REF!=3,"24-25/1",
IF(#REF!=4,"24-25/2",
IF(#REF!=5,"25-26/1",
IF(#REF!=6,"25-26/2",
IF(#REF!=7,"26-27/1",
IF(#REF!=8,"26-27/2","Hata6")))))))),
)))))),
IF(BE306="T",
IF(#REF!+BM306=2018,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306" s="3"/>
      <c r="H306" s="3"/>
      <c r="I306" s="1" t="s">
        <v>311</v>
      </c>
      <c r="J306" s="1"/>
      <c r="K306" s="1"/>
      <c r="L306" s="2">
        <v>2848</v>
      </c>
      <c r="M306" s="1"/>
      <c r="N306" s="2">
        <v>4</v>
      </c>
      <c r="O306" s="6">
        <f t="shared" si="229"/>
        <v>4</v>
      </c>
      <c r="P306" s="2">
        <f t="shared" si="230"/>
        <v>4</v>
      </c>
      <c r="Q306" s="2">
        <v>4</v>
      </c>
      <c r="R306" s="2">
        <v>0</v>
      </c>
      <c r="S306" s="2">
        <v>0</v>
      </c>
      <c r="T306" s="1"/>
      <c r="U306" s="1"/>
      <c r="V306" s="1"/>
      <c r="W306" s="1"/>
      <c r="X306" s="3">
        <v>4</v>
      </c>
      <c r="Y306" s="1">
        <f>VLOOKUP(X306,[18]ölçme_sistemleri!I:L,2,FALSE)</f>
        <v>0</v>
      </c>
      <c r="Z306" s="1">
        <f>VLOOKUP(X306,[18]ölçme_sistemleri!I:L,3,FALSE)</f>
        <v>1</v>
      </c>
      <c r="AA306" s="1">
        <f>VLOOKUP(X306,[18]ölçme_sistemleri!I:L,4,FALSE)</f>
        <v>1</v>
      </c>
      <c r="AB306" s="1">
        <f>$O306*[18]ölçme_sistemleri!J$13</f>
        <v>4</v>
      </c>
      <c r="AC306" s="1">
        <f>$O306*[18]ölçme_sistemleri!K$13</f>
        <v>8</v>
      </c>
      <c r="AD306" s="1">
        <f>$O306*[18]ölçme_sistemleri!L$13</f>
        <v>12</v>
      </c>
      <c r="AE306" s="1">
        <f t="shared" si="216"/>
        <v>0</v>
      </c>
      <c r="AF306" s="1">
        <f t="shared" si="217"/>
        <v>8</v>
      </c>
      <c r="AG306" s="1">
        <f t="shared" si="218"/>
        <v>12</v>
      </c>
      <c r="AH306" s="1">
        <f t="shared" si="219"/>
        <v>20</v>
      </c>
      <c r="AI306" s="1">
        <v>11</v>
      </c>
      <c r="AJ306" s="1">
        <f>VLOOKUP(X306,[18]ölçme_sistemleri!I:M,5,FALSE)</f>
        <v>1</v>
      </c>
      <c r="AK306" s="1">
        <f t="shared" si="220"/>
        <v>220</v>
      </c>
      <c r="AL306" s="1">
        <f>((Q306+S306)*AI306)</f>
        <v>44</v>
      </c>
      <c r="AM306" s="1">
        <f>VLOOKUP(X306,[18]ölçme_sistemleri!I:N,6,FALSE)</f>
        <v>2</v>
      </c>
      <c r="AN306" s="1">
        <v>2</v>
      </c>
      <c r="AO306" s="1">
        <f t="shared" si="221"/>
        <v>4</v>
      </c>
      <c r="AP306" s="1">
        <v>11</v>
      </c>
      <c r="AQ306" s="1">
        <f t="shared" si="233"/>
        <v>44</v>
      </c>
      <c r="AR306" s="1">
        <f t="shared" si="222"/>
        <v>112</v>
      </c>
      <c r="AS306" s="1">
        <f t="shared" si="214"/>
        <v>30</v>
      </c>
      <c r="AT306" s="1">
        <f t="shared" si="223"/>
        <v>4</v>
      </c>
      <c r="AU306" s="1">
        <f t="shared" si="234"/>
        <v>0</v>
      </c>
      <c r="AV306" s="1">
        <f t="shared" si="235"/>
        <v>0</v>
      </c>
      <c r="AW306" s="1">
        <f t="shared" si="236"/>
        <v>0</v>
      </c>
      <c r="AX306" s="1">
        <f t="shared" si="237"/>
        <v>6.4</v>
      </c>
      <c r="AY306" s="1">
        <f t="shared" si="224"/>
        <v>-13.6</v>
      </c>
      <c r="AZ306" s="1">
        <f t="shared" si="238"/>
        <v>0</v>
      </c>
      <c r="BA306" s="1">
        <f t="shared" si="225"/>
        <v>-44</v>
      </c>
      <c r="BB306" s="1">
        <f t="shared" si="226"/>
        <v>0</v>
      </c>
      <c r="BC306" s="1">
        <f t="shared" si="227"/>
        <v>-4</v>
      </c>
      <c r="BD306" s="1">
        <f t="shared" si="228"/>
        <v>6.4</v>
      </c>
      <c r="BE306" s="1" t="s">
        <v>60</v>
      </c>
      <c r="BF306" s="1">
        <f t="shared" si="239"/>
        <v>44</v>
      </c>
      <c r="BG306" s="1">
        <f t="shared" si="231"/>
        <v>50.4</v>
      </c>
      <c r="BH306" s="1">
        <f t="shared" si="232"/>
        <v>2</v>
      </c>
      <c r="BI306" s="1" t="e">
        <f>IF(BH306-#REF!=0,"DOĞRU","YANLIŞ")</f>
        <v>#REF!</v>
      </c>
      <c r="BJ306" s="1" t="e">
        <f>#REF!-BH306</f>
        <v>#REF!</v>
      </c>
      <c r="BK306" s="1">
        <v>0</v>
      </c>
      <c r="BL306" s="1"/>
      <c r="BM306" s="1">
        <v>0</v>
      </c>
      <c r="BN306" s="1"/>
      <c r="BO306" s="1"/>
      <c r="BP306" s="1"/>
      <c r="BQ306" s="1"/>
      <c r="BR306" s="1"/>
      <c r="BS306" s="1"/>
      <c r="BT306" s="8">
        <f t="shared" si="215"/>
        <v>0</v>
      </c>
      <c r="BU306" s="9"/>
      <c r="BV306" s="10"/>
      <c r="BW306" s="11"/>
      <c r="BX306" s="11"/>
      <c r="BY306" s="11"/>
      <c r="BZ306" s="11"/>
      <c r="CA306" s="11"/>
      <c r="CB306" s="12"/>
      <c r="CC306" s="13"/>
      <c r="CD306" s="14"/>
      <c r="CE306" s="1"/>
      <c r="CF306" s="1"/>
      <c r="CG306" s="1"/>
      <c r="CH306" s="1"/>
      <c r="CI306" s="1"/>
      <c r="CL306" s="11"/>
      <c r="CM306" s="11"/>
      <c r="CN306" s="11"/>
      <c r="CO306" s="11"/>
      <c r="CP306" s="11"/>
      <c r="CQ306" s="54"/>
      <c r="CR306" s="46"/>
      <c r="CS306" s="54"/>
      <c r="CT306" s="48"/>
      <c r="CU306" s="48"/>
      <c r="CV306" s="48"/>
      <c r="CW306" s="49"/>
      <c r="CX306" s="49"/>
      <c r="CY306" s="1"/>
    </row>
    <row r="307" spans="1:103" hidden="1" x14ac:dyDescent="0.25">
      <c r="A307" s="1" t="s">
        <v>338</v>
      </c>
      <c r="B307" s="1" t="s">
        <v>339</v>
      </c>
      <c r="C307" s="1" t="s">
        <v>339</v>
      </c>
      <c r="D307" s="2" t="s">
        <v>63</v>
      </c>
      <c r="E307" s="2" t="s">
        <v>63</v>
      </c>
      <c r="F307" s="3" t="e">
        <f>IF(BE307="S",
IF(#REF!+BM307=2018,
IF(#REF!=1,"18-19/1",
IF(#REF!=2,"18-19/2",
IF(#REF!=3,"19-20/1",
IF(#REF!=4,"19-20/2",
IF(#REF!=5,"20-21/1",
IF(#REF!=6,"20-21/2",
IF(#REF!=7,"21-22/1",
IF(#REF!=8,"21-22/2","Hata1")))))))),
IF(#REF!+BM307=2019,
IF(#REF!=1,"19-20/1",
IF(#REF!=2,"19-20/2",
IF(#REF!=3,"20-21/1",
IF(#REF!=4,"20-21/2",
IF(#REF!=5,"21-22/1",
IF(#REF!=6,"21-22/2",
IF(#REF!=7,"22-23/1",
IF(#REF!=8,"22-23/2","Hata2")))))))),
IF(#REF!+BM307=2020,
IF(#REF!=1,"20-21/1",
IF(#REF!=2,"20-21/2",
IF(#REF!=3,"21-22/1",
IF(#REF!=4,"21-22/2",
IF(#REF!=5,"22-23/1",
IF(#REF!=6,"22-23/2",
IF(#REF!=7,"23-24/1",
IF(#REF!=8,"23-24/2","Hata3")))))))),
IF(#REF!+BM307=2021,
IF(#REF!=1,"21-22/1",
IF(#REF!=2,"21-22/2",
IF(#REF!=3,"22-23/1",
IF(#REF!=4,"22-23/2",
IF(#REF!=5,"23-24/1",
IF(#REF!=6,"23-24/2",
IF(#REF!=7,"24-25/1",
IF(#REF!=8,"24-25/2","Hata4")))))))),
IF(#REF!+BM307=2022,
IF(#REF!=1,"22-23/1",
IF(#REF!=2,"22-23/2",
IF(#REF!=3,"23-24/1",
IF(#REF!=4,"23-24/2",
IF(#REF!=5,"24-25/1",
IF(#REF!=6,"24-25/2",
IF(#REF!=7,"25-26/1",
IF(#REF!=8,"25-26/2","Hata5")))))))),
IF(#REF!+BM307=2023,
IF(#REF!=1,"23-24/1",
IF(#REF!=2,"23-24/2",
IF(#REF!=3,"24-25/1",
IF(#REF!=4,"24-25/2",
IF(#REF!=5,"25-26/1",
IF(#REF!=6,"25-26/2",
IF(#REF!=7,"26-27/1",
IF(#REF!=8,"26-27/2","Hata6")))))))),
)))))),
IF(BE307="T",
IF(#REF!+BM307=2018,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7" s="1" t="s">
        <v>311</v>
      </c>
      <c r="L307" s="2">
        <v>2902</v>
      </c>
      <c r="N307" s="2">
        <v>4</v>
      </c>
      <c r="O307" s="6">
        <f t="shared" si="229"/>
        <v>4</v>
      </c>
      <c r="P307" s="2">
        <f t="shared" si="230"/>
        <v>4</v>
      </c>
      <c r="Q307" s="2">
        <v>0</v>
      </c>
      <c r="R307" s="2">
        <v>0</v>
      </c>
      <c r="S307" s="2">
        <v>4</v>
      </c>
      <c r="X307" s="3">
        <v>4</v>
      </c>
      <c r="Y307" s="1">
        <f>VLOOKUP(X307,[39]ölçme_sistemleri!I:L,2,FALSE)</f>
        <v>0</v>
      </c>
      <c r="Z307" s="1">
        <f>VLOOKUP(X307,[39]ölçme_sistemleri!I:L,3,FALSE)</f>
        <v>1</v>
      </c>
      <c r="AA307" s="1">
        <f>VLOOKUP(X307,[39]ölçme_sistemleri!I:L,4,FALSE)</f>
        <v>1</v>
      </c>
      <c r="AB307" s="1">
        <f>$O307*[39]ölçme_sistemleri!J$13</f>
        <v>4</v>
      </c>
      <c r="AC307" s="1">
        <f>$O307*[39]ölçme_sistemleri!K$13</f>
        <v>8</v>
      </c>
      <c r="AD307" s="1">
        <f>$O307*[39]ölçme_sistemleri!L$13</f>
        <v>12</v>
      </c>
      <c r="AE307" s="1">
        <f t="shared" si="216"/>
        <v>0</v>
      </c>
      <c r="AF307" s="1">
        <f t="shared" si="217"/>
        <v>8</v>
      </c>
      <c r="AG307" s="1">
        <f t="shared" si="218"/>
        <v>12</v>
      </c>
      <c r="AH307" s="1">
        <f t="shared" si="219"/>
        <v>20</v>
      </c>
      <c r="AI307" s="1">
        <v>11</v>
      </c>
      <c r="AJ307" s="1">
        <f>VLOOKUP(X307,[39]ölçme_sistemleri!I:M,5,FALSE)</f>
        <v>1</v>
      </c>
      <c r="AK307" s="1">
        <f t="shared" si="220"/>
        <v>220</v>
      </c>
      <c r="AL307" s="1">
        <f>AI307*4</f>
        <v>44</v>
      </c>
      <c r="AM307" s="1">
        <f>VLOOKUP(X307,[39]ölçme_sistemleri!I:N,6,FALSE)</f>
        <v>2</v>
      </c>
      <c r="AN307" s="1">
        <v>2</v>
      </c>
      <c r="AO307" s="1">
        <f t="shared" si="221"/>
        <v>4</v>
      </c>
      <c r="AP307" s="1">
        <v>11</v>
      </c>
      <c r="AQ307" s="1">
        <f t="shared" si="233"/>
        <v>44</v>
      </c>
      <c r="AR307" s="1">
        <f t="shared" si="222"/>
        <v>112</v>
      </c>
      <c r="AS307" s="1">
        <f t="shared" si="214"/>
        <v>30</v>
      </c>
      <c r="AT307" s="1">
        <f t="shared" si="223"/>
        <v>4</v>
      </c>
      <c r="AU307" s="1">
        <f t="shared" si="234"/>
        <v>0</v>
      </c>
      <c r="AV307" s="1">
        <f t="shared" si="235"/>
        <v>0</v>
      </c>
      <c r="AW307" s="1">
        <f t="shared" si="236"/>
        <v>0</v>
      </c>
      <c r="AX307" s="1">
        <f t="shared" si="237"/>
        <v>6.4</v>
      </c>
      <c r="AY307" s="1">
        <f t="shared" si="224"/>
        <v>-13.6</v>
      </c>
      <c r="AZ307" s="1">
        <f t="shared" si="238"/>
        <v>0</v>
      </c>
      <c r="BA307" s="1">
        <f t="shared" si="225"/>
        <v>-44</v>
      </c>
      <c r="BB307" s="1">
        <f t="shared" si="226"/>
        <v>0</v>
      </c>
      <c r="BC307" s="1">
        <f t="shared" si="227"/>
        <v>-4</v>
      </c>
      <c r="BD307" s="1">
        <f t="shared" si="228"/>
        <v>6.4</v>
      </c>
      <c r="BE307" s="1" t="s">
        <v>60</v>
      </c>
      <c r="BF307" s="1">
        <f t="shared" si="239"/>
        <v>44</v>
      </c>
      <c r="BG307" s="1">
        <f t="shared" si="231"/>
        <v>50.4</v>
      </c>
      <c r="BH307" s="1">
        <f t="shared" si="232"/>
        <v>2</v>
      </c>
      <c r="BI307" s="1" t="e">
        <f>IF(BH307-#REF!=0,"DOĞRU","YANLIŞ")</f>
        <v>#REF!</v>
      </c>
      <c r="BJ307" s="1" t="e">
        <f>#REF!-BH307</f>
        <v>#REF!</v>
      </c>
      <c r="BK307" s="1">
        <v>0</v>
      </c>
      <c r="BM307" s="1">
        <v>0</v>
      </c>
      <c r="BT307" s="8">
        <f t="shared" si="215"/>
        <v>0</v>
      </c>
      <c r="BU307" s="9"/>
      <c r="BV307" s="10"/>
      <c r="BW307" s="11"/>
      <c r="BX307" s="11"/>
      <c r="BY307" s="11"/>
      <c r="BZ307" s="11"/>
      <c r="CA307" s="11"/>
      <c r="CB307" s="12"/>
      <c r="CC307" s="13"/>
      <c r="CD307" s="14"/>
      <c r="CL307" s="11"/>
      <c r="CM307" s="11"/>
      <c r="CN307" s="11"/>
      <c r="CO307" s="11"/>
      <c r="CP307" s="11"/>
      <c r="CQ307" s="46"/>
      <c r="CR307" s="46"/>
      <c r="CS307" s="48"/>
      <c r="CT307" s="48"/>
      <c r="CU307" s="48"/>
      <c r="CV307" s="48"/>
      <c r="CW307" s="49"/>
      <c r="CX307" s="49"/>
    </row>
    <row r="308" spans="1:103" hidden="1" x14ac:dyDescent="0.25">
      <c r="A308" s="1" t="s">
        <v>340</v>
      </c>
      <c r="B308" s="1" t="s">
        <v>341</v>
      </c>
      <c r="C308" s="1" t="s">
        <v>341</v>
      </c>
      <c r="D308" s="2" t="s">
        <v>63</v>
      </c>
      <c r="E308" s="2" t="s">
        <v>63</v>
      </c>
      <c r="F308" s="3" t="e">
        <f>IF(BE308="S",
IF(#REF!+BM308=2018,
IF(#REF!=1,"18-19/1",
IF(#REF!=2,"18-19/2",
IF(#REF!=3,"19-20/1",
IF(#REF!=4,"19-20/2",
IF(#REF!=5,"20-21/1",
IF(#REF!=6,"20-21/2",
IF(#REF!=7,"21-22/1",
IF(#REF!=8,"21-22/2","Hata1")))))))),
IF(#REF!+BM308=2019,
IF(#REF!=1,"19-20/1",
IF(#REF!=2,"19-20/2",
IF(#REF!=3,"20-21/1",
IF(#REF!=4,"20-21/2",
IF(#REF!=5,"21-22/1",
IF(#REF!=6,"21-22/2",
IF(#REF!=7,"22-23/1",
IF(#REF!=8,"22-23/2","Hata2")))))))),
IF(#REF!+BM308=2020,
IF(#REF!=1,"20-21/1",
IF(#REF!=2,"20-21/2",
IF(#REF!=3,"21-22/1",
IF(#REF!=4,"21-22/2",
IF(#REF!=5,"22-23/1",
IF(#REF!=6,"22-23/2",
IF(#REF!=7,"23-24/1",
IF(#REF!=8,"23-24/2","Hata3")))))))),
IF(#REF!+BM308=2021,
IF(#REF!=1,"21-22/1",
IF(#REF!=2,"21-22/2",
IF(#REF!=3,"22-23/1",
IF(#REF!=4,"22-23/2",
IF(#REF!=5,"23-24/1",
IF(#REF!=6,"23-24/2",
IF(#REF!=7,"24-25/1",
IF(#REF!=8,"24-25/2","Hata4")))))))),
IF(#REF!+BM308=2022,
IF(#REF!=1,"22-23/1",
IF(#REF!=2,"22-23/2",
IF(#REF!=3,"23-24/1",
IF(#REF!=4,"23-24/2",
IF(#REF!=5,"24-25/1",
IF(#REF!=6,"24-25/2",
IF(#REF!=7,"25-26/1",
IF(#REF!=8,"25-26/2","Hata5")))))))),
IF(#REF!+BM308=2023,
IF(#REF!=1,"23-24/1",
IF(#REF!=2,"23-24/2",
IF(#REF!=3,"24-25/1",
IF(#REF!=4,"24-25/2",
IF(#REF!=5,"25-26/1",
IF(#REF!=6,"25-26/2",
IF(#REF!=7,"26-27/1",
IF(#REF!=8,"26-27/2","Hata6")))))))),
)))))),
IF(BE308="T",
IF(#REF!+BM308=2018,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8" s="1" t="s">
        <v>342</v>
      </c>
      <c r="L308" s="2">
        <v>263</v>
      </c>
      <c r="N308" s="2">
        <v>2</v>
      </c>
      <c r="O308" s="6">
        <f t="shared" si="229"/>
        <v>2</v>
      </c>
      <c r="P308" s="2">
        <f t="shared" si="230"/>
        <v>4</v>
      </c>
      <c r="Q308" s="2">
        <v>0</v>
      </c>
      <c r="R308" s="2">
        <v>4</v>
      </c>
      <c r="S308" s="2">
        <v>0</v>
      </c>
      <c r="X308" s="3">
        <v>4</v>
      </c>
      <c r="Y308" s="1">
        <f>VLOOKUP(X308,[40]ölçme_sistemleri!I:L,2,FALSE)</f>
        <v>0</v>
      </c>
      <c r="Z308" s="1">
        <f>VLOOKUP(X308,[40]ölçme_sistemleri!I:L,3,FALSE)</f>
        <v>1</v>
      </c>
      <c r="AA308" s="1">
        <f>VLOOKUP(X308,[40]ölçme_sistemleri!I:L,4,FALSE)</f>
        <v>1</v>
      </c>
      <c r="AB308" s="1">
        <f>$O308*[40]ölçme_sistemleri!J$13</f>
        <v>2</v>
      </c>
      <c r="AC308" s="1">
        <f>$O308*[40]ölçme_sistemleri!K$13</f>
        <v>4</v>
      </c>
      <c r="AD308" s="1">
        <f>$O308*[40]ölçme_sistemleri!L$13</f>
        <v>6</v>
      </c>
      <c r="AE308" s="1">
        <f t="shared" si="216"/>
        <v>0</v>
      </c>
      <c r="AF308" s="1">
        <f t="shared" si="217"/>
        <v>4</v>
      </c>
      <c r="AG308" s="1">
        <f t="shared" si="218"/>
        <v>6</v>
      </c>
      <c r="AH308" s="1">
        <f t="shared" si="219"/>
        <v>10</v>
      </c>
      <c r="AI308" s="1">
        <v>11</v>
      </c>
      <c r="AJ308" s="1">
        <f>VLOOKUP(X308,[40]ölçme_sistemleri!I:M,5,FALSE)</f>
        <v>1</v>
      </c>
      <c r="AK308" s="1">
        <f t="shared" si="220"/>
        <v>110</v>
      </c>
      <c r="AL308" s="1">
        <f>((Q308+S308)*AI308)/2</f>
        <v>0</v>
      </c>
      <c r="AM308" s="1">
        <f>VLOOKUP(X308,[40]ölçme_sistemleri!I:N,6,FALSE)</f>
        <v>2</v>
      </c>
      <c r="AN308" s="1">
        <v>2</v>
      </c>
      <c r="AO308" s="1">
        <f t="shared" si="221"/>
        <v>4</v>
      </c>
      <c r="AP308" s="1">
        <v>11</v>
      </c>
      <c r="AQ308" s="1">
        <f t="shared" si="233"/>
        <v>44</v>
      </c>
      <c r="AR308" s="1">
        <f t="shared" si="222"/>
        <v>58</v>
      </c>
      <c r="AS308" s="1">
        <f t="shared" si="214"/>
        <v>30</v>
      </c>
      <c r="AT308" s="1">
        <f t="shared" si="223"/>
        <v>2</v>
      </c>
      <c r="AU308" s="1">
        <f t="shared" si="234"/>
        <v>0</v>
      </c>
      <c r="AV308" s="1">
        <f t="shared" si="235"/>
        <v>0</v>
      </c>
      <c r="AW308" s="1">
        <f t="shared" si="236"/>
        <v>0</v>
      </c>
      <c r="AX308" s="1">
        <f t="shared" si="237"/>
        <v>3.2</v>
      </c>
      <c r="AY308" s="1">
        <f t="shared" si="224"/>
        <v>-6.8</v>
      </c>
      <c r="AZ308" s="1">
        <f t="shared" si="238"/>
        <v>0</v>
      </c>
      <c r="BA308" s="1">
        <f t="shared" si="225"/>
        <v>0</v>
      </c>
      <c r="BB308" s="1">
        <f t="shared" si="226"/>
        <v>0</v>
      </c>
      <c r="BC308" s="1">
        <f t="shared" si="227"/>
        <v>-4</v>
      </c>
      <c r="BD308" s="1">
        <f t="shared" si="228"/>
        <v>3.2</v>
      </c>
      <c r="BE308" s="1" t="s">
        <v>60</v>
      </c>
      <c r="BF308" s="1">
        <f t="shared" si="239"/>
        <v>22</v>
      </c>
      <c r="BG308" s="1">
        <f t="shared" si="231"/>
        <v>25.2</v>
      </c>
      <c r="BH308" s="1">
        <f t="shared" si="232"/>
        <v>1</v>
      </c>
      <c r="BI308" s="1" t="e">
        <f>IF(BH308-#REF!=0,"DOĞRU","YANLIŞ")</f>
        <v>#REF!</v>
      </c>
      <c r="BJ308" s="1" t="e">
        <f>#REF!-BH308</f>
        <v>#REF!</v>
      </c>
      <c r="BK308" s="1">
        <v>0</v>
      </c>
      <c r="BM308" s="1">
        <v>0</v>
      </c>
      <c r="BT308" s="8">
        <f t="shared" si="215"/>
        <v>44</v>
      </c>
      <c r="BU308" s="25">
        <v>44</v>
      </c>
      <c r="BV308" s="18"/>
      <c r="BW308" s="19"/>
      <c r="BX308" s="19"/>
      <c r="BY308" s="19"/>
      <c r="BZ308" s="19"/>
      <c r="CA308" s="19"/>
      <c r="CB308" s="20"/>
      <c r="CC308" s="21" t="s">
        <v>446</v>
      </c>
      <c r="CD308" s="23"/>
      <c r="CL308" s="11"/>
      <c r="CM308" s="11"/>
      <c r="CN308" s="11"/>
      <c r="CO308" s="11"/>
      <c r="CP308" s="11"/>
      <c r="CQ308" s="46"/>
      <c r="CR308" s="46"/>
      <c r="CS308" s="48"/>
      <c r="CT308" s="48"/>
      <c r="CU308" s="48"/>
      <c r="CV308" s="48"/>
      <c r="CW308" s="49"/>
      <c r="CX308" s="49"/>
    </row>
    <row r="309" spans="1:103" hidden="1" x14ac:dyDescent="0.25">
      <c r="A309" s="1" t="s">
        <v>309</v>
      </c>
      <c r="B309" s="1" t="s">
        <v>310</v>
      </c>
      <c r="C309" s="1" t="s">
        <v>310</v>
      </c>
      <c r="D309" s="2" t="s">
        <v>63</v>
      </c>
      <c r="E309" s="2" t="s">
        <v>63</v>
      </c>
      <c r="F309" s="3" t="e">
        <f>IF(BE309="S",
IF(#REF!+BM309=2018,
IF(#REF!=1,"18-19/1",
IF(#REF!=2,"18-19/2",
IF(#REF!=3,"19-20/1",
IF(#REF!=4,"19-20/2",
IF(#REF!=5,"20-21/1",
IF(#REF!=6,"20-21/2",
IF(#REF!=7,"21-22/1",
IF(#REF!=8,"21-22/2","Hata1")))))))),
IF(#REF!+BM309=2019,
IF(#REF!=1,"19-20/1",
IF(#REF!=2,"19-20/2",
IF(#REF!=3,"20-21/1",
IF(#REF!=4,"20-21/2",
IF(#REF!=5,"21-22/1",
IF(#REF!=6,"21-22/2",
IF(#REF!=7,"22-23/1",
IF(#REF!=8,"22-23/2","Hata2")))))))),
IF(#REF!+BM309=2020,
IF(#REF!=1,"20-21/1",
IF(#REF!=2,"20-21/2",
IF(#REF!=3,"21-22/1",
IF(#REF!=4,"21-22/2",
IF(#REF!=5,"22-23/1",
IF(#REF!=6,"22-23/2",
IF(#REF!=7,"23-24/1",
IF(#REF!=8,"23-24/2","Hata3")))))))),
IF(#REF!+BM309=2021,
IF(#REF!=1,"21-22/1",
IF(#REF!=2,"21-22/2",
IF(#REF!=3,"22-23/1",
IF(#REF!=4,"22-23/2",
IF(#REF!=5,"23-24/1",
IF(#REF!=6,"23-24/2",
IF(#REF!=7,"24-25/1",
IF(#REF!=8,"24-25/2","Hata4")))))))),
IF(#REF!+BM309=2022,
IF(#REF!=1,"22-23/1",
IF(#REF!=2,"22-23/2",
IF(#REF!=3,"23-24/1",
IF(#REF!=4,"23-24/2",
IF(#REF!=5,"24-25/1",
IF(#REF!=6,"24-25/2",
IF(#REF!=7,"25-26/1",
IF(#REF!=8,"25-26/2","Hata5")))))))),
IF(#REF!+BM309=2023,
IF(#REF!=1,"23-24/1",
IF(#REF!=2,"23-24/2",
IF(#REF!=3,"24-25/1",
IF(#REF!=4,"24-25/2",
IF(#REF!=5,"25-26/1",
IF(#REF!=6,"25-26/2",
IF(#REF!=7,"26-27/1",
IF(#REF!=8,"26-27/2","Hata6")))))))),
)))))),
IF(BE309="T",
IF(#REF!+BM309=2018,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IF(#REF!+BM309=2019,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IF(#REF!+BM309=2020,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IF(#REF!+BM309=2021,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IF(#REF!+BM309=2022,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IF(#REF!+BM309=2023,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09" s="1" t="s">
        <v>342</v>
      </c>
      <c r="L309" s="2">
        <v>3598</v>
      </c>
      <c r="N309" s="2">
        <v>4</v>
      </c>
      <c r="O309" s="6">
        <f t="shared" si="229"/>
        <v>4</v>
      </c>
      <c r="P309" s="2">
        <f t="shared" si="230"/>
        <v>4</v>
      </c>
      <c r="Q309" s="2">
        <v>0</v>
      </c>
      <c r="R309" s="2">
        <v>0</v>
      </c>
      <c r="S309" s="2">
        <v>4</v>
      </c>
      <c r="X309" s="3">
        <v>4</v>
      </c>
      <c r="Y309" s="1">
        <f>VLOOKUP(X309,[41]ölçme_sistemleri!I:L,2,FALSE)</f>
        <v>0</v>
      </c>
      <c r="Z309" s="1">
        <f>VLOOKUP(X309,[41]ölçme_sistemleri!I:L,3,FALSE)</f>
        <v>1</v>
      </c>
      <c r="AA309" s="1">
        <f>VLOOKUP(X309,[41]ölçme_sistemleri!I:L,4,FALSE)</f>
        <v>1</v>
      </c>
      <c r="AB309" s="1">
        <f>$O309*[41]ölçme_sistemleri!J$13</f>
        <v>4</v>
      </c>
      <c r="AC309" s="1">
        <f>$O309*[41]ölçme_sistemleri!K$13</f>
        <v>8</v>
      </c>
      <c r="AD309" s="1">
        <f>$O309*[41]ölçme_sistemleri!L$13</f>
        <v>12</v>
      </c>
      <c r="AE309" s="1">
        <f t="shared" si="216"/>
        <v>0</v>
      </c>
      <c r="AF309" s="1">
        <f t="shared" si="217"/>
        <v>8</v>
      </c>
      <c r="AG309" s="1">
        <f t="shared" si="218"/>
        <v>12</v>
      </c>
      <c r="AH309" s="1">
        <f t="shared" si="219"/>
        <v>20</v>
      </c>
      <c r="AI309" s="1">
        <v>11</v>
      </c>
      <c r="AJ309" s="1">
        <f>VLOOKUP(X309,[41]ölçme_sistemleri!I:M,5,FALSE)</f>
        <v>1</v>
      </c>
      <c r="AK309" s="1">
        <f t="shared" si="220"/>
        <v>220</v>
      </c>
      <c r="AL309" s="1">
        <f>((Q309+S309)*AI309)</f>
        <v>44</v>
      </c>
      <c r="AM309" s="1">
        <f>VLOOKUP(X309,[41]ölçme_sistemleri!I:N,6,FALSE)</f>
        <v>2</v>
      </c>
      <c r="AN309" s="1">
        <v>2</v>
      </c>
      <c r="AO309" s="1">
        <f t="shared" si="221"/>
        <v>4</v>
      </c>
      <c r="AP309" s="1">
        <v>11</v>
      </c>
      <c r="AQ309" s="1">
        <f t="shared" si="233"/>
        <v>44</v>
      </c>
      <c r="AR309" s="1">
        <f t="shared" si="222"/>
        <v>112</v>
      </c>
      <c r="AS309" s="1">
        <f t="shared" si="214"/>
        <v>30</v>
      </c>
      <c r="AT309" s="1">
        <f t="shared" si="223"/>
        <v>4</v>
      </c>
      <c r="AU309" s="1">
        <f t="shared" si="234"/>
        <v>0</v>
      </c>
      <c r="AV309" s="1">
        <f t="shared" si="235"/>
        <v>0</v>
      </c>
      <c r="AW309" s="1">
        <f t="shared" si="236"/>
        <v>0</v>
      </c>
      <c r="AX309" s="1">
        <f t="shared" si="237"/>
        <v>6.4</v>
      </c>
      <c r="AY309" s="1">
        <f t="shared" si="224"/>
        <v>-13.6</v>
      </c>
      <c r="AZ309" s="1">
        <f t="shared" si="238"/>
        <v>0</v>
      </c>
      <c r="BA309" s="1">
        <f t="shared" si="225"/>
        <v>-44</v>
      </c>
      <c r="BB309" s="1">
        <f t="shared" si="226"/>
        <v>0</v>
      </c>
      <c r="BC309" s="1">
        <f t="shared" si="227"/>
        <v>-4</v>
      </c>
      <c r="BD309" s="1">
        <f t="shared" si="228"/>
        <v>6.4</v>
      </c>
      <c r="BE309" s="1" t="s">
        <v>60</v>
      </c>
      <c r="BF309" s="1">
        <f t="shared" si="239"/>
        <v>44</v>
      </c>
      <c r="BG309" s="1">
        <f t="shared" si="231"/>
        <v>50.4</v>
      </c>
      <c r="BH309" s="1">
        <f t="shared" si="232"/>
        <v>2</v>
      </c>
      <c r="BI309" s="1" t="e">
        <f>IF(BH309-#REF!=0,"DOĞRU","YANLIŞ")</f>
        <v>#REF!</v>
      </c>
      <c r="BJ309" s="1" t="e">
        <f>#REF!-BH309</f>
        <v>#REF!</v>
      </c>
      <c r="BK309" s="1">
        <v>0</v>
      </c>
      <c r="BM309" s="1">
        <v>0</v>
      </c>
      <c r="BT309" s="8">
        <f t="shared" si="215"/>
        <v>0</v>
      </c>
      <c r="BU309" s="24"/>
      <c r="BV309" s="10"/>
      <c r="BW309" s="11"/>
      <c r="BX309" s="11"/>
      <c r="BY309" s="11"/>
      <c r="BZ309" s="11"/>
      <c r="CA309" s="11"/>
      <c r="CB309" s="12"/>
      <c r="CC309" s="13"/>
      <c r="CD309" s="14"/>
      <c r="CL309" s="11"/>
      <c r="CM309" s="11"/>
      <c r="CN309" s="11"/>
      <c r="CO309" s="11"/>
      <c r="CP309" s="11"/>
      <c r="CQ309" s="49"/>
      <c r="CR309" s="46"/>
      <c r="CS309" s="48"/>
      <c r="CT309" s="48"/>
      <c r="CU309" s="48"/>
      <c r="CV309" s="48"/>
      <c r="CW309" s="49"/>
      <c r="CX309" s="49"/>
    </row>
    <row r="310" spans="1:103" hidden="1" x14ac:dyDescent="0.25">
      <c r="A310" s="1" t="s">
        <v>345</v>
      </c>
      <c r="B310" s="1" t="s">
        <v>346</v>
      </c>
      <c r="C310" s="1" t="s">
        <v>346</v>
      </c>
      <c r="D310" s="2" t="s">
        <v>63</v>
      </c>
      <c r="E310" s="2" t="s">
        <v>63</v>
      </c>
      <c r="F310" s="3" t="e">
        <f>IF(BE310="S",
IF(#REF!+BM310=2018,
IF(#REF!=1,"18-19/1",
IF(#REF!=2,"18-19/2",
IF(#REF!=3,"19-20/1",
IF(#REF!=4,"19-20/2",
IF(#REF!=5,"20-21/1",
IF(#REF!=6,"20-21/2",
IF(#REF!=7,"21-22/1",
IF(#REF!=8,"21-22/2","Hata1")))))))),
IF(#REF!+BM310=2019,
IF(#REF!=1,"19-20/1",
IF(#REF!=2,"19-20/2",
IF(#REF!=3,"20-21/1",
IF(#REF!=4,"20-21/2",
IF(#REF!=5,"21-22/1",
IF(#REF!=6,"21-22/2",
IF(#REF!=7,"22-23/1",
IF(#REF!=8,"22-23/2","Hata2")))))))),
IF(#REF!+BM310=2020,
IF(#REF!=1,"20-21/1",
IF(#REF!=2,"20-21/2",
IF(#REF!=3,"21-22/1",
IF(#REF!=4,"21-22/2",
IF(#REF!=5,"22-23/1",
IF(#REF!=6,"22-23/2",
IF(#REF!=7,"23-24/1",
IF(#REF!=8,"23-24/2","Hata3")))))))),
IF(#REF!+BM310=2021,
IF(#REF!=1,"21-22/1",
IF(#REF!=2,"21-22/2",
IF(#REF!=3,"22-23/1",
IF(#REF!=4,"22-23/2",
IF(#REF!=5,"23-24/1",
IF(#REF!=6,"23-24/2",
IF(#REF!=7,"24-25/1",
IF(#REF!=8,"24-25/2","Hata4")))))))),
IF(#REF!+BM310=2022,
IF(#REF!=1,"22-23/1",
IF(#REF!=2,"22-23/2",
IF(#REF!=3,"23-24/1",
IF(#REF!=4,"23-24/2",
IF(#REF!=5,"24-25/1",
IF(#REF!=6,"24-25/2",
IF(#REF!=7,"25-26/1",
IF(#REF!=8,"25-26/2","Hata5")))))))),
IF(#REF!+BM310=2023,
IF(#REF!=1,"23-24/1",
IF(#REF!=2,"23-24/2",
IF(#REF!=3,"24-25/1",
IF(#REF!=4,"24-25/2",
IF(#REF!=5,"25-26/1",
IF(#REF!=6,"25-26/2",
IF(#REF!=7,"26-27/1",
IF(#REF!=8,"26-27/2","Hata6")))))))),
)))))),
IF(BE310="T",
IF(#REF!+BM310=2018,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0" s="1" t="s">
        <v>342</v>
      </c>
      <c r="L310" s="2">
        <v>838</v>
      </c>
      <c r="N310" s="2">
        <v>4</v>
      </c>
      <c r="O310" s="6">
        <f t="shared" si="229"/>
        <v>4</v>
      </c>
      <c r="P310" s="2">
        <f t="shared" si="230"/>
        <v>4</v>
      </c>
      <c r="Q310" s="2">
        <v>0</v>
      </c>
      <c r="R310" s="2">
        <v>0</v>
      </c>
      <c r="S310" s="2">
        <v>4</v>
      </c>
      <c r="X310" s="3">
        <v>4</v>
      </c>
      <c r="Y310" s="1">
        <f>VLOOKUP(X310,[40]ölçme_sistemleri!I:L,2,FALSE)</f>
        <v>0</v>
      </c>
      <c r="Z310" s="1">
        <f>VLOOKUP(X310,[40]ölçme_sistemleri!I:L,3,FALSE)</f>
        <v>1</v>
      </c>
      <c r="AA310" s="1">
        <f>VLOOKUP(X310,[40]ölçme_sistemleri!I:L,4,FALSE)</f>
        <v>1</v>
      </c>
      <c r="AB310" s="1">
        <f>$O310*[40]ölçme_sistemleri!J$13</f>
        <v>4</v>
      </c>
      <c r="AC310" s="1">
        <f>$O310*[40]ölçme_sistemleri!K$13</f>
        <v>8</v>
      </c>
      <c r="AD310" s="1">
        <f>$O310*[40]ölçme_sistemleri!L$13</f>
        <v>12</v>
      </c>
      <c r="AE310" s="1">
        <f t="shared" si="216"/>
        <v>0</v>
      </c>
      <c r="AF310" s="1">
        <f t="shared" si="217"/>
        <v>8</v>
      </c>
      <c r="AG310" s="1">
        <f t="shared" si="218"/>
        <v>12</v>
      </c>
      <c r="AH310" s="1">
        <f t="shared" si="219"/>
        <v>20</v>
      </c>
      <c r="AI310" s="1">
        <v>11</v>
      </c>
      <c r="AJ310" s="1">
        <f>VLOOKUP(X310,[40]ölçme_sistemleri!I:M,5,FALSE)</f>
        <v>1</v>
      </c>
      <c r="AK310" s="1">
        <f t="shared" si="220"/>
        <v>220</v>
      </c>
      <c r="AL310" s="1">
        <f>((Q310+S310)*AI310)</f>
        <v>44</v>
      </c>
      <c r="AM310" s="1">
        <f>VLOOKUP(X310,[40]ölçme_sistemleri!I:N,6,FALSE)</f>
        <v>2</v>
      </c>
      <c r="AN310" s="1">
        <v>2</v>
      </c>
      <c r="AO310" s="1">
        <f t="shared" si="221"/>
        <v>4</v>
      </c>
      <c r="AP310" s="1">
        <v>11</v>
      </c>
      <c r="AQ310" s="1">
        <f t="shared" si="233"/>
        <v>44</v>
      </c>
      <c r="AR310" s="1">
        <f t="shared" si="222"/>
        <v>112</v>
      </c>
      <c r="AS310" s="1">
        <f t="shared" si="214"/>
        <v>30</v>
      </c>
      <c r="AT310" s="1">
        <f t="shared" si="223"/>
        <v>4</v>
      </c>
      <c r="AU310" s="1">
        <f t="shared" si="234"/>
        <v>0</v>
      </c>
      <c r="AV310" s="1">
        <f t="shared" si="235"/>
        <v>0</v>
      </c>
      <c r="AW310" s="1">
        <f t="shared" si="236"/>
        <v>0</v>
      </c>
      <c r="AX310" s="1">
        <f t="shared" si="237"/>
        <v>6.4</v>
      </c>
      <c r="AY310" s="1">
        <f t="shared" si="224"/>
        <v>-13.6</v>
      </c>
      <c r="AZ310" s="1">
        <f t="shared" si="238"/>
        <v>0</v>
      </c>
      <c r="BA310" s="1">
        <f t="shared" si="225"/>
        <v>-44</v>
      </c>
      <c r="BB310" s="1">
        <f t="shared" si="226"/>
        <v>0</v>
      </c>
      <c r="BC310" s="1">
        <f t="shared" si="227"/>
        <v>-4</v>
      </c>
      <c r="BD310" s="1">
        <f t="shared" si="228"/>
        <v>6.4</v>
      </c>
      <c r="BE310" s="1" t="s">
        <v>60</v>
      </c>
      <c r="BF310" s="1">
        <f t="shared" si="239"/>
        <v>44</v>
      </c>
      <c r="BG310" s="1">
        <f t="shared" si="231"/>
        <v>50.4</v>
      </c>
      <c r="BH310" s="1">
        <f t="shared" si="232"/>
        <v>2</v>
      </c>
      <c r="BI310" s="1" t="e">
        <f>IF(BH310-#REF!=0,"DOĞRU","YANLIŞ")</f>
        <v>#REF!</v>
      </c>
      <c r="BJ310" s="1" t="e">
        <f>#REF!-BH310</f>
        <v>#REF!</v>
      </c>
      <c r="BK310" s="1">
        <v>0</v>
      </c>
      <c r="BM310" s="1">
        <v>0</v>
      </c>
      <c r="BT310" s="8">
        <f t="shared" si="215"/>
        <v>0</v>
      </c>
      <c r="BU310" s="24"/>
      <c r="BV310" s="10"/>
      <c r="BW310" s="11"/>
      <c r="BX310" s="11"/>
      <c r="BY310" s="11"/>
      <c r="BZ310" s="11"/>
      <c r="CA310" s="11"/>
      <c r="CB310" s="12"/>
      <c r="CC310" s="13"/>
      <c r="CD310" s="14"/>
      <c r="CL310" s="11"/>
      <c r="CM310" s="11"/>
      <c r="CN310" s="11"/>
      <c r="CO310" s="11"/>
      <c r="CP310" s="11"/>
      <c r="CQ310" s="46"/>
      <c r="CR310" s="46"/>
      <c r="CS310" s="48"/>
      <c r="CT310" s="48"/>
      <c r="CU310" s="48"/>
      <c r="CV310" s="48"/>
      <c r="CW310" s="49"/>
      <c r="CX310" s="49"/>
    </row>
    <row r="311" spans="1:103" hidden="1" x14ac:dyDescent="0.25">
      <c r="A311" s="1" t="s">
        <v>314</v>
      </c>
      <c r="B311" s="1" t="s">
        <v>77</v>
      </c>
      <c r="C311" s="1" t="s">
        <v>77</v>
      </c>
      <c r="D311" s="2" t="s">
        <v>58</v>
      </c>
      <c r="E311" s="2" t="s">
        <v>58</v>
      </c>
      <c r="F311" s="3" t="e">
        <f>IF(BE311="S",
IF(#REF!+BM311=2018,
IF(#REF!=1,"18-19/1",
IF(#REF!=2,"18-19/2",
IF(#REF!=3,"19-20/1",
IF(#REF!=4,"19-20/2",
IF(#REF!=5,"20-21/1",
IF(#REF!=6,"20-21/2",
IF(#REF!=7,"21-22/1",
IF(#REF!=8,"21-22/2","Hata1")))))))),
IF(#REF!+BM311=2019,
IF(#REF!=1,"19-20/1",
IF(#REF!=2,"19-20/2",
IF(#REF!=3,"20-21/1",
IF(#REF!=4,"20-21/2",
IF(#REF!=5,"21-22/1",
IF(#REF!=6,"21-22/2",
IF(#REF!=7,"22-23/1",
IF(#REF!=8,"22-23/2","Hata2")))))))),
IF(#REF!+BM311=2020,
IF(#REF!=1,"20-21/1",
IF(#REF!=2,"20-21/2",
IF(#REF!=3,"21-22/1",
IF(#REF!=4,"21-22/2",
IF(#REF!=5,"22-23/1",
IF(#REF!=6,"22-23/2",
IF(#REF!=7,"23-24/1",
IF(#REF!=8,"23-24/2","Hata3")))))))),
IF(#REF!+BM311=2021,
IF(#REF!=1,"21-22/1",
IF(#REF!=2,"21-22/2",
IF(#REF!=3,"22-23/1",
IF(#REF!=4,"22-23/2",
IF(#REF!=5,"23-24/1",
IF(#REF!=6,"23-24/2",
IF(#REF!=7,"24-25/1",
IF(#REF!=8,"24-25/2","Hata4")))))))),
IF(#REF!+BM311=2022,
IF(#REF!=1,"22-23/1",
IF(#REF!=2,"22-23/2",
IF(#REF!=3,"23-24/1",
IF(#REF!=4,"23-24/2",
IF(#REF!=5,"24-25/1",
IF(#REF!=6,"24-25/2",
IF(#REF!=7,"25-26/1",
IF(#REF!=8,"25-26/2","Hata5")))))))),
IF(#REF!+BM311=2023,
IF(#REF!=1,"23-24/1",
IF(#REF!=2,"23-24/2",
IF(#REF!=3,"24-25/1",
IF(#REF!=4,"24-25/2",
IF(#REF!=5,"25-26/1",
IF(#REF!=6,"25-26/2",
IF(#REF!=7,"26-27/1",
IF(#REF!=8,"26-27/2","Hata6")))))))),
)))))),
IF(BE311="T",
IF(#REF!+BM311=2018,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1" s="1" t="s">
        <v>342</v>
      </c>
      <c r="L311" s="2">
        <v>3567</v>
      </c>
      <c r="N311" s="2">
        <v>4</v>
      </c>
      <c r="O311" s="6">
        <f t="shared" si="229"/>
        <v>2</v>
      </c>
      <c r="P311" s="2">
        <f t="shared" si="230"/>
        <v>2</v>
      </c>
      <c r="Q311" s="2">
        <v>0</v>
      </c>
      <c r="R311" s="2">
        <v>0</v>
      </c>
      <c r="S311" s="2">
        <v>2</v>
      </c>
      <c r="X311" s="3">
        <v>7</v>
      </c>
      <c r="Y311" s="1">
        <f>VLOOKUP(X311,[41]ölçme_sistemleri!I:L,2,FALSE)</f>
        <v>0</v>
      </c>
      <c r="Z311" s="1">
        <f>VLOOKUP(X311,[41]ölçme_sistemleri!I:L,3,FALSE)</f>
        <v>1</v>
      </c>
      <c r="AA311" s="1">
        <f>VLOOKUP(X311,[41]ölçme_sistemleri!I:L,4,FALSE)</f>
        <v>1</v>
      </c>
      <c r="AB311" s="1">
        <f>$O311*[41]ölçme_sistemleri!J$13</f>
        <v>2</v>
      </c>
      <c r="AC311" s="1">
        <f>$O311*[41]ölçme_sistemleri!K$13</f>
        <v>4</v>
      </c>
      <c r="AD311" s="1">
        <f>$O311*[41]ölçme_sistemleri!L$13</f>
        <v>6</v>
      </c>
      <c r="AE311" s="1">
        <f t="shared" si="216"/>
        <v>0</v>
      </c>
      <c r="AF311" s="1">
        <f t="shared" si="217"/>
        <v>4</v>
      </c>
      <c r="AG311" s="1">
        <f t="shared" si="218"/>
        <v>6</v>
      </c>
      <c r="AH311" s="1">
        <f t="shared" si="219"/>
        <v>10</v>
      </c>
      <c r="AI311" s="1">
        <v>11</v>
      </c>
      <c r="AJ311" s="1">
        <f>VLOOKUP(X311,[41]ölçme_sistemleri!I:M,5,FALSE)</f>
        <v>1</v>
      </c>
      <c r="AK311" s="1">
        <f t="shared" si="220"/>
        <v>110</v>
      </c>
      <c r="AL311" s="1">
        <f>AI311*7</f>
        <v>77</v>
      </c>
      <c r="AM311" s="1">
        <f>VLOOKUP(X311,[41]ölçme_sistemleri!I:N,6,FALSE)</f>
        <v>2</v>
      </c>
      <c r="AN311" s="1">
        <v>2</v>
      </c>
      <c r="AO311" s="1">
        <f t="shared" si="221"/>
        <v>4</v>
      </c>
      <c r="AP311" s="1">
        <v>11</v>
      </c>
      <c r="AQ311" s="1">
        <f t="shared" si="233"/>
        <v>22</v>
      </c>
      <c r="AR311" s="1">
        <f t="shared" si="222"/>
        <v>113</v>
      </c>
      <c r="AS311" s="1">
        <f t="shared" si="214"/>
        <v>30</v>
      </c>
      <c r="AT311" s="1">
        <f t="shared" si="223"/>
        <v>4</v>
      </c>
      <c r="AU311" s="1">
        <f t="shared" si="234"/>
        <v>0</v>
      </c>
      <c r="AV311" s="1">
        <f t="shared" si="235"/>
        <v>0</v>
      </c>
      <c r="AW311" s="1">
        <f t="shared" si="236"/>
        <v>0</v>
      </c>
      <c r="AX311" s="1">
        <f t="shared" si="237"/>
        <v>3.2</v>
      </c>
      <c r="AY311" s="1">
        <f t="shared" si="224"/>
        <v>-6.8</v>
      </c>
      <c r="AZ311" s="1">
        <f t="shared" si="238"/>
        <v>0</v>
      </c>
      <c r="BA311" s="1">
        <f t="shared" si="225"/>
        <v>-77</v>
      </c>
      <c r="BB311" s="1">
        <f t="shared" si="226"/>
        <v>0</v>
      </c>
      <c r="BC311" s="1">
        <f t="shared" si="227"/>
        <v>-4</v>
      </c>
      <c r="BD311" s="1">
        <f t="shared" si="228"/>
        <v>3.2</v>
      </c>
      <c r="BE311" s="1" t="s">
        <v>60</v>
      </c>
      <c r="BF311" s="1">
        <f t="shared" si="239"/>
        <v>22</v>
      </c>
      <c r="BG311" s="1">
        <f t="shared" si="231"/>
        <v>25.2</v>
      </c>
      <c r="BH311" s="1">
        <f t="shared" si="232"/>
        <v>1</v>
      </c>
      <c r="BI311" s="1" t="e">
        <f>IF(BH311-#REF!=0,"DOĞRU","YANLIŞ")</f>
        <v>#REF!</v>
      </c>
      <c r="BJ311" s="1" t="e">
        <f>#REF!-BH311</f>
        <v>#REF!</v>
      </c>
      <c r="BK311" s="1">
        <v>0</v>
      </c>
      <c r="BM311" s="1">
        <v>0</v>
      </c>
      <c r="BT311" s="8">
        <f t="shared" si="215"/>
        <v>0</v>
      </c>
      <c r="BU311" s="24"/>
      <c r="BV311" s="10"/>
      <c r="BW311" s="11"/>
      <c r="BX311" s="11"/>
      <c r="BY311" s="11"/>
      <c r="BZ311" s="11"/>
      <c r="CA311" s="11"/>
      <c r="CB311" s="12"/>
      <c r="CC311" s="13"/>
      <c r="CD311" s="14"/>
      <c r="CL311" s="11"/>
      <c r="CM311" s="11"/>
      <c r="CN311" s="11"/>
      <c r="CO311" s="11"/>
      <c r="CP311" s="11"/>
      <c r="CQ311" s="54"/>
      <c r="CR311" s="62"/>
      <c r="CS311" s="54"/>
      <c r="CT311" s="62"/>
      <c r="CU311" s="48"/>
      <c r="CV311" s="48"/>
      <c r="CW311" s="49"/>
      <c r="CX311" s="49"/>
    </row>
    <row r="312" spans="1:103" hidden="1" x14ac:dyDescent="0.25">
      <c r="A312" s="1" t="s">
        <v>347</v>
      </c>
      <c r="B312" s="1" t="s">
        <v>316</v>
      </c>
      <c r="C312" s="1" t="s">
        <v>316</v>
      </c>
      <c r="D312" s="2" t="s">
        <v>63</v>
      </c>
      <c r="E312" s="2" t="s">
        <v>63</v>
      </c>
      <c r="F312" s="3" t="e">
        <f>IF(BE312="S",
IF(#REF!+BM312=2018,
IF(#REF!=1,"18-19/1",
IF(#REF!=2,"18-19/2",
IF(#REF!=3,"19-20/1",
IF(#REF!=4,"19-20/2",
IF(#REF!=5,"20-21/1",
IF(#REF!=6,"20-21/2",
IF(#REF!=7,"21-22/1",
IF(#REF!=8,"21-22/2","Hata1")))))))),
IF(#REF!+BM312=2019,
IF(#REF!=1,"19-20/1",
IF(#REF!=2,"19-20/2",
IF(#REF!=3,"20-21/1",
IF(#REF!=4,"20-21/2",
IF(#REF!=5,"21-22/1",
IF(#REF!=6,"21-22/2",
IF(#REF!=7,"22-23/1",
IF(#REF!=8,"22-23/2","Hata2")))))))),
IF(#REF!+BM312=2020,
IF(#REF!=1,"20-21/1",
IF(#REF!=2,"20-21/2",
IF(#REF!=3,"21-22/1",
IF(#REF!=4,"21-22/2",
IF(#REF!=5,"22-23/1",
IF(#REF!=6,"22-23/2",
IF(#REF!=7,"23-24/1",
IF(#REF!=8,"23-24/2","Hata3")))))))),
IF(#REF!+BM312=2021,
IF(#REF!=1,"21-22/1",
IF(#REF!=2,"21-22/2",
IF(#REF!=3,"22-23/1",
IF(#REF!=4,"22-23/2",
IF(#REF!=5,"23-24/1",
IF(#REF!=6,"23-24/2",
IF(#REF!=7,"24-25/1",
IF(#REF!=8,"24-25/2","Hata4")))))))),
IF(#REF!+BM312=2022,
IF(#REF!=1,"22-23/1",
IF(#REF!=2,"22-23/2",
IF(#REF!=3,"23-24/1",
IF(#REF!=4,"23-24/2",
IF(#REF!=5,"24-25/1",
IF(#REF!=6,"24-25/2",
IF(#REF!=7,"25-26/1",
IF(#REF!=8,"25-26/2","Hata5")))))))),
IF(#REF!+BM312=2023,
IF(#REF!=1,"23-24/1",
IF(#REF!=2,"23-24/2",
IF(#REF!=3,"24-25/1",
IF(#REF!=4,"24-25/2",
IF(#REF!=5,"25-26/1",
IF(#REF!=6,"25-26/2",
IF(#REF!=7,"26-27/1",
IF(#REF!=8,"26-27/2","Hata6")))))))),
)))))),
IF(BE312="T",
IF(#REF!+BM312=2018,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2" s="1" t="s">
        <v>342</v>
      </c>
      <c r="L312" s="2">
        <v>1054</v>
      </c>
      <c r="N312" s="2">
        <v>3</v>
      </c>
      <c r="O312" s="6">
        <f t="shared" si="229"/>
        <v>3</v>
      </c>
      <c r="P312" s="2">
        <f t="shared" si="230"/>
        <v>6</v>
      </c>
      <c r="Q312" s="2">
        <v>0</v>
      </c>
      <c r="R312" s="2">
        <v>6</v>
      </c>
      <c r="S312" s="2">
        <v>0</v>
      </c>
      <c r="X312" s="3">
        <v>4</v>
      </c>
      <c r="Y312" s="1">
        <f>VLOOKUP(X312,[40]ölçme_sistemleri!I:L,2,FALSE)</f>
        <v>0</v>
      </c>
      <c r="Z312" s="1">
        <f>VLOOKUP(X312,[40]ölçme_sistemleri!I:L,3,FALSE)</f>
        <v>1</v>
      </c>
      <c r="AA312" s="1">
        <f>VLOOKUP(X312,[40]ölçme_sistemleri!I:L,4,FALSE)</f>
        <v>1</v>
      </c>
      <c r="AB312" s="1">
        <f>$O312*[40]ölçme_sistemleri!J$13</f>
        <v>3</v>
      </c>
      <c r="AC312" s="1">
        <f>$O312*[40]ölçme_sistemleri!K$13</f>
        <v>6</v>
      </c>
      <c r="AD312" s="1">
        <f>$O312*[40]ölçme_sistemleri!L$13</f>
        <v>9</v>
      </c>
      <c r="AE312" s="1">
        <f t="shared" si="216"/>
        <v>0</v>
      </c>
      <c r="AF312" s="1">
        <f t="shared" si="217"/>
        <v>6</v>
      </c>
      <c r="AG312" s="1">
        <f t="shared" si="218"/>
        <v>9</v>
      </c>
      <c r="AH312" s="1">
        <f t="shared" si="219"/>
        <v>15</v>
      </c>
      <c r="AI312" s="1">
        <v>11</v>
      </c>
      <c r="AJ312" s="1">
        <f>VLOOKUP(X312,[40]ölçme_sistemleri!I:M,5,FALSE)</f>
        <v>1</v>
      </c>
      <c r="AK312" s="1">
        <f t="shared" si="220"/>
        <v>165</v>
      </c>
      <c r="AL312" s="1">
        <f>((Q312+S312)*AI312)/2</f>
        <v>0</v>
      </c>
      <c r="AM312" s="1">
        <f>VLOOKUP(X312,[40]ölçme_sistemleri!I:N,6,FALSE)</f>
        <v>2</v>
      </c>
      <c r="AN312" s="1">
        <v>2</v>
      </c>
      <c r="AO312" s="1">
        <f t="shared" si="221"/>
        <v>4</v>
      </c>
      <c r="AP312" s="1">
        <v>11</v>
      </c>
      <c r="AQ312" s="1">
        <f t="shared" si="233"/>
        <v>66</v>
      </c>
      <c r="AR312" s="1">
        <f t="shared" si="222"/>
        <v>85</v>
      </c>
      <c r="AS312" s="1">
        <f t="shared" si="214"/>
        <v>30</v>
      </c>
      <c r="AT312" s="1">
        <f t="shared" si="223"/>
        <v>3</v>
      </c>
      <c r="AU312" s="1">
        <f t="shared" si="234"/>
        <v>0</v>
      </c>
      <c r="AV312" s="1">
        <f t="shared" si="235"/>
        <v>0</v>
      </c>
      <c r="AW312" s="1">
        <f t="shared" si="236"/>
        <v>0</v>
      </c>
      <c r="AX312" s="1">
        <f t="shared" si="237"/>
        <v>4.8000000000000007</v>
      </c>
      <c r="AY312" s="1">
        <f t="shared" si="224"/>
        <v>-10.199999999999999</v>
      </c>
      <c r="AZ312" s="1">
        <f t="shared" si="238"/>
        <v>0</v>
      </c>
      <c r="BA312" s="1">
        <f t="shared" si="225"/>
        <v>0</v>
      </c>
      <c r="BB312" s="1">
        <f t="shared" si="226"/>
        <v>0</v>
      </c>
      <c r="BC312" s="1">
        <f t="shared" si="227"/>
        <v>-4</v>
      </c>
      <c r="BD312" s="1">
        <f t="shared" si="228"/>
        <v>4.8000000000000007</v>
      </c>
      <c r="BE312" s="1" t="s">
        <v>60</v>
      </c>
      <c r="BF312" s="1">
        <f t="shared" si="239"/>
        <v>33</v>
      </c>
      <c r="BG312" s="1">
        <f t="shared" si="231"/>
        <v>37.799999999999997</v>
      </c>
      <c r="BH312" s="1">
        <f t="shared" si="232"/>
        <v>2</v>
      </c>
      <c r="BI312" s="1" t="e">
        <f>IF(BH312-#REF!=0,"DOĞRU","YANLIŞ")</f>
        <v>#REF!</v>
      </c>
      <c r="BJ312" s="1" t="e">
        <f>#REF!-BH312</f>
        <v>#REF!</v>
      </c>
      <c r="BK312" s="1">
        <v>0</v>
      </c>
      <c r="BM312" s="1">
        <v>0</v>
      </c>
      <c r="BT312" s="8">
        <f t="shared" si="215"/>
        <v>66</v>
      </c>
      <c r="BU312" s="25">
        <v>66</v>
      </c>
      <c r="BV312" s="18"/>
      <c r="BW312" s="19"/>
      <c r="BX312" s="19"/>
      <c r="BY312" s="19"/>
      <c r="BZ312" s="19"/>
      <c r="CA312" s="19"/>
      <c r="CB312" s="20"/>
      <c r="CC312" s="21" t="s">
        <v>446</v>
      </c>
      <c r="CD312" s="23"/>
      <c r="CL312" s="11"/>
      <c r="CM312" s="11"/>
      <c r="CN312" s="11"/>
      <c r="CO312" s="11"/>
      <c r="CP312" s="11"/>
      <c r="CQ312" s="49"/>
      <c r="CR312" s="46"/>
      <c r="CS312" s="48"/>
      <c r="CT312" s="48"/>
      <c r="CU312" s="48"/>
      <c r="CV312" s="48"/>
      <c r="CW312" s="49"/>
      <c r="CX312" s="49"/>
    </row>
    <row r="313" spans="1:103" hidden="1" x14ac:dyDescent="0.25">
      <c r="A313" s="1" t="s">
        <v>317</v>
      </c>
      <c r="B313" s="1" t="s">
        <v>318</v>
      </c>
      <c r="C313" s="1" t="s">
        <v>318</v>
      </c>
      <c r="D313" s="2" t="s">
        <v>63</v>
      </c>
      <c r="E313" s="2" t="s">
        <v>63</v>
      </c>
      <c r="F313" s="3" t="e">
        <f>IF(BE313="S",
IF(#REF!+BM313=2018,
IF(#REF!=1,"18-19/1",
IF(#REF!=2,"18-19/2",
IF(#REF!=3,"19-20/1",
IF(#REF!=4,"19-20/2",
IF(#REF!=5,"20-21/1",
IF(#REF!=6,"20-21/2",
IF(#REF!=7,"21-22/1",
IF(#REF!=8,"21-22/2","Hata1")))))))),
IF(#REF!+BM313=2019,
IF(#REF!=1,"19-20/1",
IF(#REF!=2,"19-20/2",
IF(#REF!=3,"20-21/1",
IF(#REF!=4,"20-21/2",
IF(#REF!=5,"21-22/1",
IF(#REF!=6,"21-22/2",
IF(#REF!=7,"22-23/1",
IF(#REF!=8,"22-23/2","Hata2")))))))),
IF(#REF!+BM313=2020,
IF(#REF!=1,"20-21/1",
IF(#REF!=2,"20-21/2",
IF(#REF!=3,"21-22/1",
IF(#REF!=4,"21-22/2",
IF(#REF!=5,"22-23/1",
IF(#REF!=6,"22-23/2",
IF(#REF!=7,"23-24/1",
IF(#REF!=8,"23-24/2","Hata3")))))))),
IF(#REF!+BM313=2021,
IF(#REF!=1,"21-22/1",
IF(#REF!=2,"21-22/2",
IF(#REF!=3,"22-23/1",
IF(#REF!=4,"22-23/2",
IF(#REF!=5,"23-24/1",
IF(#REF!=6,"23-24/2",
IF(#REF!=7,"24-25/1",
IF(#REF!=8,"24-25/2","Hata4")))))))),
IF(#REF!+BM313=2022,
IF(#REF!=1,"22-23/1",
IF(#REF!=2,"22-23/2",
IF(#REF!=3,"23-24/1",
IF(#REF!=4,"23-24/2",
IF(#REF!=5,"24-25/1",
IF(#REF!=6,"24-25/2",
IF(#REF!=7,"25-26/1",
IF(#REF!=8,"25-26/2","Hata5")))))))),
IF(#REF!+BM313=2023,
IF(#REF!=1,"23-24/1",
IF(#REF!=2,"23-24/2",
IF(#REF!=3,"24-25/1",
IF(#REF!=4,"24-25/2",
IF(#REF!=5,"25-26/1",
IF(#REF!=6,"25-26/2",
IF(#REF!=7,"26-27/1",
IF(#REF!=8,"26-27/2","Hata6")))))))),
)))))),
IF(BE313="T",
IF(#REF!+BM313=2018,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3" s="1" t="s">
        <v>342</v>
      </c>
      <c r="L313" s="2">
        <v>3568</v>
      </c>
      <c r="N313" s="2">
        <v>4</v>
      </c>
      <c r="O313" s="6">
        <f t="shared" si="229"/>
        <v>4</v>
      </c>
      <c r="P313" s="2">
        <f t="shared" si="230"/>
        <v>4</v>
      </c>
      <c r="Q313" s="2">
        <v>0</v>
      </c>
      <c r="R313" s="2">
        <v>0</v>
      </c>
      <c r="S313" s="2">
        <v>4</v>
      </c>
      <c r="X313" s="3">
        <v>4</v>
      </c>
      <c r="Y313" s="1">
        <f>VLOOKUP(X313,[41]ölçme_sistemleri!I:L,2,FALSE)</f>
        <v>0</v>
      </c>
      <c r="Z313" s="1">
        <f>VLOOKUP(X313,[41]ölçme_sistemleri!I:L,3,FALSE)</f>
        <v>1</v>
      </c>
      <c r="AA313" s="1">
        <f>VLOOKUP(X313,[41]ölçme_sistemleri!I:L,4,FALSE)</f>
        <v>1</v>
      </c>
      <c r="AB313" s="1">
        <f>$O313*[41]ölçme_sistemleri!J$13</f>
        <v>4</v>
      </c>
      <c r="AC313" s="1">
        <f>$O313*[41]ölçme_sistemleri!K$13</f>
        <v>8</v>
      </c>
      <c r="AD313" s="1">
        <f>$O313*[41]ölçme_sistemleri!L$13</f>
        <v>12</v>
      </c>
      <c r="AE313" s="1">
        <f t="shared" si="216"/>
        <v>0</v>
      </c>
      <c r="AF313" s="1">
        <f t="shared" si="217"/>
        <v>8</v>
      </c>
      <c r="AG313" s="1">
        <f t="shared" si="218"/>
        <v>12</v>
      </c>
      <c r="AH313" s="1">
        <f t="shared" si="219"/>
        <v>20</v>
      </c>
      <c r="AI313" s="1">
        <v>11</v>
      </c>
      <c r="AJ313" s="1">
        <f>VLOOKUP(X313,[41]ölçme_sistemleri!I:M,5,FALSE)</f>
        <v>1</v>
      </c>
      <c r="AK313" s="1">
        <f t="shared" si="220"/>
        <v>220</v>
      </c>
      <c r="AL313" s="1">
        <f>((Q313+S313)*AI313)</f>
        <v>44</v>
      </c>
      <c r="AM313" s="1">
        <f>VLOOKUP(X313,[41]ölçme_sistemleri!I:N,6,FALSE)</f>
        <v>2</v>
      </c>
      <c r="AN313" s="1">
        <v>2</v>
      </c>
      <c r="AO313" s="1">
        <f t="shared" si="221"/>
        <v>4</v>
      </c>
      <c r="AP313" s="1">
        <v>11</v>
      </c>
      <c r="AQ313" s="1">
        <f t="shared" si="233"/>
        <v>44</v>
      </c>
      <c r="AR313" s="1">
        <f t="shared" si="222"/>
        <v>112</v>
      </c>
      <c r="AS313" s="1">
        <f t="shared" si="214"/>
        <v>30</v>
      </c>
      <c r="AT313" s="1">
        <f t="shared" si="223"/>
        <v>4</v>
      </c>
      <c r="AU313" s="1">
        <f t="shared" si="234"/>
        <v>0</v>
      </c>
      <c r="AV313" s="1">
        <f t="shared" si="235"/>
        <v>0</v>
      </c>
      <c r="AW313" s="1">
        <f t="shared" si="236"/>
        <v>0</v>
      </c>
      <c r="AX313" s="1">
        <f t="shared" si="237"/>
        <v>6.4</v>
      </c>
      <c r="AY313" s="1">
        <f t="shared" si="224"/>
        <v>-13.6</v>
      </c>
      <c r="AZ313" s="1">
        <f t="shared" si="238"/>
        <v>0</v>
      </c>
      <c r="BA313" s="1">
        <f t="shared" si="225"/>
        <v>-44</v>
      </c>
      <c r="BB313" s="1">
        <f t="shared" si="226"/>
        <v>0</v>
      </c>
      <c r="BC313" s="1">
        <f t="shared" si="227"/>
        <v>-4</v>
      </c>
      <c r="BD313" s="1">
        <f t="shared" si="228"/>
        <v>6.4</v>
      </c>
      <c r="BE313" s="1" t="s">
        <v>60</v>
      </c>
      <c r="BF313" s="1">
        <f t="shared" si="239"/>
        <v>44</v>
      </c>
      <c r="BG313" s="1">
        <f t="shared" si="231"/>
        <v>50.4</v>
      </c>
      <c r="BH313" s="1">
        <f t="shared" si="232"/>
        <v>2</v>
      </c>
      <c r="BI313" s="1" t="e">
        <f>IF(BH313-#REF!=0,"DOĞRU","YANLIŞ")</f>
        <v>#REF!</v>
      </c>
      <c r="BJ313" s="1" t="e">
        <f>#REF!-BH313</f>
        <v>#REF!</v>
      </c>
      <c r="BK313" s="1">
        <v>0</v>
      </c>
      <c r="BM313" s="1">
        <v>0</v>
      </c>
      <c r="BT313" s="8">
        <f t="shared" si="215"/>
        <v>0</v>
      </c>
      <c r="BU313" s="24"/>
      <c r="BV313" s="10"/>
      <c r="BW313" s="11"/>
      <c r="BX313" s="11"/>
      <c r="BY313" s="11"/>
      <c r="BZ313" s="11"/>
      <c r="CA313" s="11"/>
      <c r="CB313" s="12"/>
      <c r="CC313" s="13"/>
      <c r="CD313" s="14"/>
      <c r="CL313" s="11"/>
      <c r="CM313" s="11"/>
      <c r="CN313" s="11"/>
      <c r="CO313" s="11"/>
      <c r="CP313" s="11"/>
      <c r="CQ313" s="46"/>
      <c r="CR313" s="46"/>
      <c r="CS313" s="48"/>
      <c r="CT313" s="48"/>
      <c r="CU313" s="48"/>
      <c r="CV313" s="48"/>
      <c r="CW313" s="49"/>
      <c r="CX313" s="49"/>
    </row>
    <row r="314" spans="1:103" x14ac:dyDescent="0.25">
      <c r="A314" s="88" t="s">
        <v>319</v>
      </c>
      <c r="B314" s="88" t="s">
        <v>320</v>
      </c>
      <c r="C314" s="1" t="s">
        <v>320</v>
      </c>
      <c r="D314" s="2" t="s">
        <v>58</v>
      </c>
      <c r="E314" s="2" t="s">
        <v>58</v>
      </c>
      <c r="F314" s="3" t="e">
        <f>IF(BE314="S",
IF(#REF!+BM314=2018,
IF(#REF!=1,"18-19/1",
IF(#REF!=2,"18-19/2",
IF(#REF!=3,"19-20/1",
IF(#REF!=4,"19-20/2",
IF(#REF!=5,"20-21/1",
IF(#REF!=6,"20-21/2",
IF(#REF!=7,"21-22/1",
IF(#REF!=8,"21-22/2","Hata1")))))))),
IF(#REF!+BM314=2019,
IF(#REF!=1,"19-20/1",
IF(#REF!=2,"19-20/2",
IF(#REF!=3,"20-21/1",
IF(#REF!=4,"20-21/2",
IF(#REF!=5,"21-22/1",
IF(#REF!=6,"21-22/2",
IF(#REF!=7,"22-23/1",
IF(#REF!=8,"22-23/2","Hata2")))))))),
IF(#REF!+BM314=2020,
IF(#REF!=1,"20-21/1",
IF(#REF!=2,"20-21/2",
IF(#REF!=3,"21-22/1",
IF(#REF!=4,"21-22/2",
IF(#REF!=5,"22-23/1",
IF(#REF!=6,"22-23/2",
IF(#REF!=7,"23-24/1",
IF(#REF!=8,"23-24/2","Hata3")))))))),
IF(#REF!+BM314=2021,
IF(#REF!=1,"21-22/1",
IF(#REF!=2,"21-22/2",
IF(#REF!=3,"22-23/1",
IF(#REF!=4,"22-23/2",
IF(#REF!=5,"23-24/1",
IF(#REF!=6,"23-24/2",
IF(#REF!=7,"24-25/1",
IF(#REF!=8,"24-25/2","Hata4")))))))),
IF(#REF!+BM314=2022,
IF(#REF!=1,"22-23/1",
IF(#REF!=2,"22-23/2",
IF(#REF!=3,"23-24/1",
IF(#REF!=4,"23-24/2",
IF(#REF!=5,"24-25/1",
IF(#REF!=6,"24-25/2",
IF(#REF!=7,"25-26/1",
IF(#REF!=8,"25-26/2","Hata5")))))))),
IF(#REF!+BM314=2023,
IF(#REF!=1,"23-24/1",
IF(#REF!=2,"23-24/2",
IF(#REF!=3,"24-25/1",
IF(#REF!=4,"24-25/2",
IF(#REF!=5,"25-26/1",
IF(#REF!=6,"25-26/2",
IF(#REF!=7,"26-27/1",
IF(#REF!=8,"26-27/2","Hata6")))))))),
)))))),
IF(BE314="T",
IF(#REF!+BM314=2018,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4" s="88" t="s">
        <v>342</v>
      </c>
      <c r="L314" s="2">
        <v>3610</v>
      </c>
      <c r="N314" s="87">
        <v>6</v>
      </c>
      <c r="O314" s="89">
        <f t="shared" si="229"/>
        <v>5</v>
      </c>
      <c r="P314" s="2">
        <f t="shared" si="230"/>
        <v>6</v>
      </c>
      <c r="Q314" s="2">
        <v>2</v>
      </c>
      <c r="R314" s="2">
        <v>2</v>
      </c>
      <c r="S314" s="2">
        <v>2</v>
      </c>
      <c r="X314" s="90">
        <v>2</v>
      </c>
      <c r="Y314" s="1">
        <f>VLOOKUP(X314,[42]ölçme_sistemleri!I:L,2,FALSE)</f>
        <v>0</v>
      </c>
      <c r="Z314" s="1">
        <f>VLOOKUP(X314,[42]ölçme_sistemleri!I:L,3,FALSE)</f>
        <v>2</v>
      </c>
      <c r="AA314" s="1">
        <f>VLOOKUP(X314,[42]ölçme_sistemleri!I:L,4,FALSE)</f>
        <v>1</v>
      </c>
      <c r="AB314" s="1">
        <f>$O314*[42]ölçme_sistemleri!J$13</f>
        <v>5</v>
      </c>
      <c r="AC314" s="1">
        <f>$O314*[42]ölçme_sistemleri!K$13</f>
        <v>10</v>
      </c>
      <c r="AD314" s="1">
        <f>$O314*[42]ölçme_sistemleri!L$13</f>
        <v>15</v>
      </c>
      <c r="AE314" s="1">
        <f t="shared" si="216"/>
        <v>0</v>
      </c>
      <c r="AF314" s="1">
        <f t="shared" si="217"/>
        <v>20</v>
      </c>
      <c r="AG314" s="1">
        <f t="shared" si="218"/>
        <v>15</v>
      </c>
      <c r="AH314" s="1">
        <f t="shared" si="219"/>
        <v>35</v>
      </c>
      <c r="AI314" s="1">
        <v>11</v>
      </c>
      <c r="AJ314" s="1">
        <f>VLOOKUP(X314,[42]ölçme_sistemleri!I:M,5,FALSE)</f>
        <v>2</v>
      </c>
      <c r="AK314" s="1">
        <f t="shared" si="220"/>
        <v>385</v>
      </c>
      <c r="AL314" s="1">
        <f>AI314*6</f>
        <v>66</v>
      </c>
      <c r="AM314" s="1">
        <f>VLOOKUP(X314,[42]ölçme_sistemleri!I:N,6,FALSE)</f>
        <v>3</v>
      </c>
      <c r="AN314" s="1">
        <v>2</v>
      </c>
      <c r="AO314" s="1">
        <f t="shared" si="221"/>
        <v>6</v>
      </c>
      <c r="AP314" s="1">
        <v>11</v>
      </c>
      <c r="AQ314" s="1">
        <f t="shared" si="233"/>
        <v>66</v>
      </c>
      <c r="AR314" s="1">
        <f t="shared" si="222"/>
        <v>173</v>
      </c>
      <c r="AS314" s="1">
        <f t="shared" si="214"/>
        <v>30</v>
      </c>
      <c r="AT314" s="1">
        <f t="shared" si="223"/>
        <v>6</v>
      </c>
      <c r="AU314" s="1">
        <f t="shared" si="234"/>
        <v>0</v>
      </c>
      <c r="AV314" s="1">
        <f t="shared" si="235"/>
        <v>0</v>
      </c>
      <c r="AW314" s="1">
        <f t="shared" si="236"/>
        <v>0</v>
      </c>
      <c r="AX314" s="1">
        <f t="shared" si="237"/>
        <v>8</v>
      </c>
      <c r="AY314" s="1">
        <f t="shared" si="224"/>
        <v>-27</v>
      </c>
      <c r="AZ314" s="1">
        <f t="shared" si="238"/>
        <v>0</v>
      </c>
      <c r="BA314" s="1">
        <f t="shared" si="225"/>
        <v>-66</v>
      </c>
      <c r="BB314" s="1">
        <f t="shared" si="226"/>
        <v>0</v>
      </c>
      <c r="BC314" s="1">
        <f t="shared" si="227"/>
        <v>-6</v>
      </c>
      <c r="BD314" s="1">
        <f t="shared" si="228"/>
        <v>8</v>
      </c>
      <c r="BE314" s="1" t="s">
        <v>60</v>
      </c>
      <c r="BF314" s="1">
        <f t="shared" si="239"/>
        <v>55</v>
      </c>
      <c r="BG314" s="1">
        <f t="shared" si="231"/>
        <v>63</v>
      </c>
      <c r="BH314" s="1">
        <f t="shared" si="232"/>
        <v>3</v>
      </c>
      <c r="BI314" s="1" t="e">
        <f>IF(BH314-#REF!=0,"DOĞRU","YANLIŞ")</f>
        <v>#REF!</v>
      </c>
      <c r="BJ314" s="1" t="e">
        <f>#REF!-BH314</f>
        <v>#REF!</v>
      </c>
      <c r="BK314" s="1">
        <v>1</v>
      </c>
      <c r="BM314" s="1">
        <v>0</v>
      </c>
      <c r="BT314" s="8">
        <f t="shared" si="215"/>
        <v>22</v>
      </c>
      <c r="BU314" s="24"/>
      <c r="BV314" s="18">
        <v>22</v>
      </c>
      <c r="BW314" s="19"/>
      <c r="BX314" s="19"/>
      <c r="BY314" s="19"/>
      <c r="BZ314" s="19" t="s">
        <v>442</v>
      </c>
      <c r="CA314" s="19"/>
      <c r="CB314" s="20"/>
      <c r="CC314" s="21" t="s">
        <v>443</v>
      </c>
      <c r="CD314" s="23" t="s">
        <v>444</v>
      </c>
      <c r="CL314" s="82"/>
      <c r="CM314" s="82"/>
      <c r="CN314" s="82"/>
      <c r="CO314" s="82"/>
      <c r="CP314" s="82" t="s">
        <v>442</v>
      </c>
      <c r="CQ314" s="84">
        <v>44282</v>
      </c>
      <c r="CR314" s="83" t="s">
        <v>502</v>
      </c>
      <c r="CS314" s="93">
        <v>44296</v>
      </c>
      <c r="CT314" s="107" t="s">
        <v>502</v>
      </c>
      <c r="CU314" s="48"/>
      <c r="CV314" s="48"/>
      <c r="CW314" s="49"/>
      <c r="CX314" s="49"/>
    </row>
    <row r="315" spans="1:103" x14ac:dyDescent="0.25">
      <c r="A315" s="88" t="s">
        <v>321</v>
      </c>
      <c r="B315" s="88" t="s">
        <v>322</v>
      </c>
      <c r="C315" s="1" t="s">
        <v>322</v>
      </c>
      <c r="D315" s="2" t="s">
        <v>58</v>
      </c>
      <c r="E315" s="2" t="s">
        <v>58</v>
      </c>
      <c r="F315" s="3" t="e">
        <f>IF(BE315="S",
IF(#REF!+BM315=2018,
IF(#REF!=1,"18-19/1",
IF(#REF!=2,"18-19/2",
IF(#REF!=3,"19-20/1",
IF(#REF!=4,"19-20/2",
IF(#REF!=5,"20-21/1",
IF(#REF!=6,"20-21/2",
IF(#REF!=7,"21-22/1",
IF(#REF!=8,"21-22/2","Hata1")))))))),
IF(#REF!+BM315=2019,
IF(#REF!=1,"19-20/1",
IF(#REF!=2,"19-20/2",
IF(#REF!=3,"20-21/1",
IF(#REF!=4,"20-21/2",
IF(#REF!=5,"21-22/1",
IF(#REF!=6,"21-22/2",
IF(#REF!=7,"22-23/1",
IF(#REF!=8,"22-23/2","Hata2")))))))),
IF(#REF!+BM315=2020,
IF(#REF!=1,"20-21/1",
IF(#REF!=2,"20-21/2",
IF(#REF!=3,"21-22/1",
IF(#REF!=4,"21-22/2",
IF(#REF!=5,"22-23/1",
IF(#REF!=6,"22-23/2",
IF(#REF!=7,"23-24/1",
IF(#REF!=8,"23-24/2","Hata3")))))))),
IF(#REF!+BM315=2021,
IF(#REF!=1,"21-22/1",
IF(#REF!=2,"21-22/2",
IF(#REF!=3,"22-23/1",
IF(#REF!=4,"22-23/2",
IF(#REF!=5,"23-24/1",
IF(#REF!=6,"23-24/2",
IF(#REF!=7,"24-25/1",
IF(#REF!=8,"24-25/2","Hata4")))))))),
IF(#REF!+BM315=2022,
IF(#REF!=1,"22-23/1",
IF(#REF!=2,"22-23/2",
IF(#REF!=3,"23-24/1",
IF(#REF!=4,"23-24/2",
IF(#REF!=5,"24-25/1",
IF(#REF!=6,"24-25/2",
IF(#REF!=7,"25-26/1",
IF(#REF!=8,"25-26/2","Hata5")))))))),
IF(#REF!+BM315=2023,
IF(#REF!=1,"23-24/1",
IF(#REF!=2,"23-24/2",
IF(#REF!=3,"24-25/1",
IF(#REF!=4,"24-25/2",
IF(#REF!=5,"25-26/1",
IF(#REF!=6,"25-26/2",
IF(#REF!=7,"26-27/1",
IF(#REF!=8,"26-27/2","Hata6")))))))),
)))))),
IF(BE315="T",
IF(#REF!+BM315=2018,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5" s="88" t="s">
        <v>342</v>
      </c>
      <c r="L315" s="2">
        <v>3613</v>
      </c>
      <c r="N315" s="87">
        <v>6</v>
      </c>
      <c r="O315" s="89">
        <f t="shared" si="229"/>
        <v>5</v>
      </c>
      <c r="P315" s="2">
        <f t="shared" si="230"/>
        <v>6</v>
      </c>
      <c r="Q315" s="2">
        <v>2</v>
      </c>
      <c r="R315" s="2">
        <v>2</v>
      </c>
      <c r="S315" s="2">
        <v>2</v>
      </c>
      <c r="X315" s="90">
        <v>2</v>
      </c>
      <c r="Y315" s="1">
        <f>VLOOKUP(X315,[42]ölçme_sistemleri!I:L,2,FALSE)</f>
        <v>0</v>
      </c>
      <c r="Z315" s="1">
        <f>VLOOKUP(X315,[42]ölçme_sistemleri!I:L,3,FALSE)</f>
        <v>2</v>
      </c>
      <c r="AA315" s="1">
        <f>VLOOKUP(X315,[42]ölçme_sistemleri!I:L,4,FALSE)</f>
        <v>1</v>
      </c>
      <c r="AB315" s="1">
        <f>$O315*[42]ölçme_sistemleri!J$13</f>
        <v>5</v>
      </c>
      <c r="AC315" s="1">
        <f>$O315*[42]ölçme_sistemleri!K$13</f>
        <v>10</v>
      </c>
      <c r="AD315" s="1">
        <f>$O315*[42]ölçme_sistemleri!L$13</f>
        <v>15</v>
      </c>
      <c r="AE315" s="1">
        <f t="shared" si="216"/>
        <v>0</v>
      </c>
      <c r="AF315" s="1">
        <f t="shared" si="217"/>
        <v>20</v>
      </c>
      <c r="AG315" s="1">
        <f t="shared" si="218"/>
        <v>15</v>
      </c>
      <c r="AH315" s="1">
        <f t="shared" si="219"/>
        <v>35</v>
      </c>
      <c r="AI315" s="1">
        <v>11</v>
      </c>
      <c r="AJ315" s="1">
        <f>VLOOKUP(X315,[42]ölçme_sistemleri!I:M,5,FALSE)</f>
        <v>2</v>
      </c>
      <c r="AK315" s="1">
        <f t="shared" si="220"/>
        <v>385</v>
      </c>
      <c r="AL315" s="1">
        <f>AI315*6</f>
        <v>66</v>
      </c>
      <c r="AM315" s="1">
        <f>VLOOKUP(X315,[42]ölçme_sistemleri!I:N,6,FALSE)</f>
        <v>3</v>
      </c>
      <c r="AN315" s="1">
        <v>2</v>
      </c>
      <c r="AO315" s="1">
        <f t="shared" si="221"/>
        <v>6</v>
      </c>
      <c r="AP315" s="1">
        <v>11</v>
      </c>
      <c r="AQ315" s="1">
        <f t="shared" si="233"/>
        <v>66</v>
      </c>
      <c r="AR315" s="1">
        <f t="shared" si="222"/>
        <v>173</v>
      </c>
      <c r="AS315" s="1">
        <f t="shared" si="214"/>
        <v>30</v>
      </c>
      <c r="AT315" s="1">
        <f t="shared" si="223"/>
        <v>6</v>
      </c>
      <c r="AU315" s="1">
        <f t="shared" si="234"/>
        <v>0</v>
      </c>
      <c r="AV315" s="1">
        <f t="shared" si="235"/>
        <v>0</v>
      </c>
      <c r="AW315" s="1">
        <f t="shared" si="236"/>
        <v>0</v>
      </c>
      <c r="AX315" s="1">
        <f t="shared" si="237"/>
        <v>8</v>
      </c>
      <c r="AY315" s="1">
        <f t="shared" si="224"/>
        <v>-27</v>
      </c>
      <c r="AZ315" s="1">
        <f t="shared" si="238"/>
        <v>0</v>
      </c>
      <c r="BA315" s="1">
        <f t="shared" si="225"/>
        <v>-66</v>
      </c>
      <c r="BB315" s="1">
        <f t="shared" si="226"/>
        <v>0</v>
      </c>
      <c r="BC315" s="1">
        <f t="shared" si="227"/>
        <v>-6</v>
      </c>
      <c r="BD315" s="1">
        <f t="shared" si="228"/>
        <v>8</v>
      </c>
      <c r="BE315" s="1" t="s">
        <v>60</v>
      </c>
      <c r="BF315" s="1">
        <f t="shared" si="239"/>
        <v>55</v>
      </c>
      <c r="BG315" s="1">
        <f t="shared" si="231"/>
        <v>63</v>
      </c>
      <c r="BH315" s="1">
        <f t="shared" si="232"/>
        <v>3</v>
      </c>
      <c r="BI315" s="1" t="e">
        <f>IF(BH315-#REF!=0,"DOĞRU","YANLIŞ")</f>
        <v>#REF!</v>
      </c>
      <c r="BJ315" s="1" t="e">
        <f>#REF!-BH315</f>
        <v>#REF!</v>
      </c>
      <c r="BK315" s="1">
        <v>1</v>
      </c>
      <c r="BM315" s="1">
        <v>0</v>
      </c>
      <c r="BT315" s="8">
        <f t="shared" si="215"/>
        <v>22</v>
      </c>
      <c r="BU315" s="25"/>
      <c r="BV315" s="18">
        <v>22</v>
      </c>
      <c r="BW315" s="19"/>
      <c r="BX315" s="19"/>
      <c r="BY315" s="19"/>
      <c r="BZ315" s="19" t="s">
        <v>442</v>
      </c>
      <c r="CA315" s="19"/>
      <c r="CB315" s="20"/>
      <c r="CC315" s="21" t="s">
        <v>443</v>
      </c>
      <c r="CD315" s="23" t="s">
        <v>444</v>
      </c>
      <c r="CL315" s="82"/>
      <c r="CM315" s="82"/>
      <c r="CN315" s="82"/>
      <c r="CO315" s="82"/>
      <c r="CP315" s="82" t="s">
        <v>442</v>
      </c>
      <c r="CQ315" s="84">
        <v>44281</v>
      </c>
      <c r="CR315" s="83" t="s">
        <v>503</v>
      </c>
      <c r="CS315" s="84">
        <v>44295</v>
      </c>
      <c r="CT315" s="91" t="s">
        <v>503</v>
      </c>
      <c r="CU315" s="49"/>
      <c r="CV315" s="48"/>
      <c r="CW315" s="49"/>
      <c r="CX315" s="49"/>
    </row>
    <row r="316" spans="1:103" hidden="1" x14ac:dyDescent="0.25">
      <c r="A316" s="1" t="s">
        <v>325</v>
      </c>
      <c r="B316" s="1" t="s">
        <v>326</v>
      </c>
      <c r="C316" s="1" t="s">
        <v>326</v>
      </c>
      <c r="D316" s="2" t="s">
        <v>63</v>
      </c>
      <c r="E316" s="2" t="s">
        <v>63</v>
      </c>
      <c r="F316" s="3" t="e">
        <f>IF(BE316="S",
IF(#REF!+BM316=2018,
IF(#REF!=1,"18-19/1",
IF(#REF!=2,"18-19/2",
IF(#REF!=3,"19-20/1",
IF(#REF!=4,"19-20/2",
IF(#REF!=5,"20-21/1",
IF(#REF!=6,"20-21/2",
IF(#REF!=7,"21-22/1",
IF(#REF!=8,"21-22/2","Hata1")))))))),
IF(#REF!+BM316=2019,
IF(#REF!=1,"19-20/1",
IF(#REF!=2,"19-20/2",
IF(#REF!=3,"20-21/1",
IF(#REF!=4,"20-21/2",
IF(#REF!=5,"21-22/1",
IF(#REF!=6,"21-22/2",
IF(#REF!=7,"22-23/1",
IF(#REF!=8,"22-23/2","Hata2")))))))),
IF(#REF!+BM316=2020,
IF(#REF!=1,"20-21/1",
IF(#REF!=2,"20-21/2",
IF(#REF!=3,"21-22/1",
IF(#REF!=4,"21-22/2",
IF(#REF!=5,"22-23/1",
IF(#REF!=6,"22-23/2",
IF(#REF!=7,"23-24/1",
IF(#REF!=8,"23-24/2","Hata3")))))))),
IF(#REF!+BM316=2021,
IF(#REF!=1,"21-22/1",
IF(#REF!=2,"21-22/2",
IF(#REF!=3,"22-23/1",
IF(#REF!=4,"22-23/2",
IF(#REF!=5,"23-24/1",
IF(#REF!=6,"23-24/2",
IF(#REF!=7,"24-25/1",
IF(#REF!=8,"24-25/2","Hata4")))))))),
IF(#REF!+BM316=2022,
IF(#REF!=1,"22-23/1",
IF(#REF!=2,"22-23/2",
IF(#REF!=3,"23-24/1",
IF(#REF!=4,"23-24/2",
IF(#REF!=5,"24-25/1",
IF(#REF!=6,"24-25/2",
IF(#REF!=7,"25-26/1",
IF(#REF!=8,"25-26/2","Hata5")))))))),
IF(#REF!+BM316=2023,
IF(#REF!=1,"23-24/1",
IF(#REF!=2,"23-24/2",
IF(#REF!=3,"24-25/1",
IF(#REF!=4,"24-25/2",
IF(#REF!=5,"25-26/1",
IF(#REF!=6,"25-26/2",
IF(#REF!=7,"26-27/1",
IF(#REF!=8,"26-27/2","Hata6")))))))),
)))))),
IF(BE316="T",
IF(#REF!+BM316=2018,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6" s="1" t="s">
        <v>342</v>
      </c>
      <c r="L316" s="2">
        <v>3561</v>
      </c>
      <c r="N316" s="2">
        <v>4</v>
      </c>
      <c r="O316" s="6">
        <f t="shared" si="229"/>
        <v>4</v>
      </c>
      <c r="P316" s="2">
        <f t="shared" si="230"/>
        <v>4</v>
      </c>
      <c r="Q316" s="2">
        <v>0</v>
      </c>
      <c r="R316" s="2">
        <v>0</v>
      </c>
      <c r="S316" s="2">
        <v>4</v>
      </c>
      <c r="X316" s="3">
        <v>4</v>
      </c>
      <c r="Y316" s="1">
        <f>VLOOKUP(X316,[41]ölçme_sistemleri!I:L,2,FALSE)</f>
        <v>0</v>
      </c>
      <c r="Z316" s="1">
        <f>VLOOKUP(X316,[41]ölçme_sistemleri!I:L,3,FALSE)</f>
        <v>1</v>
      </c>
      <c r="AA316" s="1">
        <f>VLOOKUP(X316,[41]ölçme_sistemleri!I:L,4,FALSE)</f>
        <v>1</v>
      </c>
      <c r="AB316" s="1">
        <f>$O316*[41]ölçme_sistemleri!J$13</f>
        <v>4</v>
      </c>
      <c r="AC316" s="1">
        <f>$O316*[41]ölçme_sistemleri!K$13</f>
        <v>8</v>
      </c>
      <c r="AD316" s="1">
        <f>$O316*[41]ölçme_sistemleri!L$13</f>
        <v>12</v>
      </c>
      <c r="AE316" s="1">
        <f t="shared" si="216"/>
        <v>0</v>
      </c>
      <c r="AF316" s="1">
        <f t="shared" si="217"/>
        <v>8</v>
      </c>
      <c r="AG316" s="1">
        <f t="shared" si="218"/>
        <v>12</v>
      </c>
      <c r="AH316" s="1">
        <f t="shared" si="219"/>
        <v>20</v>
      </c>
      <c r="AI316" s="1">
        <v>11</v>
      </c>
      <c r="AJ316" s="1">
        <f>VLOOKUP(X316,[41]ölçme_sistemleri!I:M,5,FALSE)</f>
        <v>1</v>
      </c>
      <c r="AK316" s="1">
        <f t="shared" si="220"/>
        <v>220</v>
      </c>
      <c r="AL316" s="1">
        <f>((Q316+S316)*AI316)</f>
        <v>44</v>
      </c>
      <c r="AM316" s="1">
        <f>VLOOKUP(X316,[41]ölçme_sistemleri!I:N,6,FALSE)</f>
        <v>2</v>
      </c>
      <c r="AN316" s="1">
        <v>2</v>
      </c>
      <c r="AO316" s="1">
        <f t="shared" si="221"/>
        <v>4</v>
      </c>
      <c r="AP316" s="1">
        <v>11</v>
      </c>
      <c r="AQ316" s="1">
        <f t="shared" si="233"/>
        <v>44</v>
      </c>
      <c r="AR316" s="1">
        <f t="shared" si="222"/>
        <v>112</v>
      </c>
      <c r="AS316" s="1">
        <f t="shared" si="214"/>
        <v>30</v>
      </c>
      <c r="AT316" s="1">
        <f t="shared" si="223"/>
        <v>4</v>
      </c>
      <c r="AU316" s="1">
        <f t="shared" si="234"/>
        <v>0</v>
      </c>
      <c r="AV316" s="1">
        <f t="shared" si="235"/>
        <v>0</v>
      </c>
      <c r="AW316" s="1">
        <f t="shared" si="236"/>
        <v>0</v>
      </c>
      <c r="AX316" s="1">
        <f t="shared" si="237"/>
        <v>6.4</v>
      </c>
      <c r="AY316" s="1">
        <f t="shared" si="224"/>
        <v>-13.6</v>
      </c>
      <c r="AZ316" s="1">
        <f t="shared" si="238"/>
        <v>0</v>
      </c>
      <c r="BA316" s="1">
        <f t="shared" si="225"/>
        <v>-44</v>
      </c>
      <c r="BB316" s="1">
        <f t="shared" si="226"/>
        <v>0</v>
      </c>
      <c r="BC316" s="1">
        <f t="shared" si="227"/>
        <v>-4</v>
      </c>
      <c r="BD316" s="1">
        <f t="shared" si="228"/>
        <v>6.4</v>
      </c>
      <c r="BE316" s="1" t="s">
        <v>60</v>
      </c>
      <c r="BF316" s="1">
        <f t="shared" si="239"/>
        <v>44</v>
      </c>
      <c r="BG316" s="1">
        <f t="shared" si="231"/>
        <v>50.4</v>
      </c>
      <c r="BH316" s="1">
        <f t="shared" si="232"/>
        <v>2</v>
      </c>
      <c r="BI316" s="1" t="e">
        <f>IF(BH316-#REF!=0,"DOĞRU","YANLIŞ")</f>
        <v>#REF!</v>
      </c>
      <c r="BJ316" s="1" t="e">
        <f>#REF!-BH316</f>
        <v>#REF!</v>
      </c>
      <c r="BK316" s="1">
        <v>0</v>
      </c>
      <c r="BM316" s="1">
        <v>0</v>
      </c>
      <c r="BT316" s="8">
        <f t="shared" si="215"/>
        <v>0</v>
      </c>
      <c r="BU316" s="24"/>
      <c r="BV316" s="10"/>
      <c r="BW316" s="11"/>
      <c r="BX316" s="11"/>
      <c r="BY316" s="11"/>
      <c r="BZ316" s="11"/>
      <c r="CA316" s="11"/>
      <c r="CB316" s="12"/>
      <c r="CC316" s="13"/>
      <c r="CD316" s="14"/>
      <c r="CL316" s="11"/>
      <c r="CM316" s="11"/>
      <c r="CN316" s="11"/>
      <c r="CO316" s="11"/>
      <c r="CP316" s="11"/>
      <c r="CQ316" s="49"/>
      <c r="CR316" s="46"/>
      <c r="CS316" s="48"/>
      <c r="CT316" s="48"/>
      <c r="CU316" s="48"/>
      <c r="CV316" s="48"/>
      <c r="CW316" s="49"/>
      <c r="CX316" s="49"/>
    </row>
    <row r="317" spans="1:103" hidden="1" x14ac:dyDescent="0.25">
      <c r="A317" s="1" t="s">
        <v>348</v>
      </c>
      <c r="B317" s="1" t="s">
        <v>349</v>
      </c>
      <c r="C317" s="1" t="s">
        <v>349</v>
      </c>
      <c r="D317" s="2" t="s">
        <v>63</v>
      </c>
      <c r="E317" s="2" t="s">
        <v>63</v>
      </c>
      <c r="F317" s="3" t="e">
        <f>IF(BE317="S",
IF(#REF!+BM317=2018,
IF(#REF!=1,"18-19/1",
IF(#REF!=2,"18-19/2",
IF(#REF!=3,"19-20/1",
IF(#REF!=4,"19-20/2",
IF(#REF!=5,"20-21/1",
IF(#REF!=6,"20-21/2",
IF(#REF!=7,"21-22/1",
IF(#REF!=8,"21-22/2","Hata1")))))))),
IF(#REF!+BM317=2019,
IF(#REF!=1,"19-20/1",
IF(#REF!=2,"19-20/2",
IF(#REF!=3,"20-21/1",
IF(#REF!=4,"20-21/2",
IF(#REF!=5,"21-22/1",
IF(#REF!=6,"21-22/2",
IF(#REF!=7,"22-23/1",
IF(#REF!=8,"22-23/2","Hata2")))))))),
IF(#REF!+BM317=2020,
IF(#REF!=1,"20-21/1",
IF(#REF!=2,"20-21/2",
IF(#REF!=3,"21-22/1",
IF(#REF!=4,"21-22/2",
IF(#REF!=5,"22-23/1",
IF(#REF!=6,"22-23/2",
IF(#REF!=7,"23-24/1",
IF(#REF!=8,"23-24/2","Hata3")))))))),
IF(#REF!+BM317=2021,
IF(#REF!=1,"21-22/1",
IF(#REF!=2,"21-22/2",
IF(#REF!=3,"22-23/1",
IF(#REF!=4,"22-23/2",
IF(#REF!=5,"23-24/1",
IF(#REF!=6,"23-24/2",
IF(#REF!=7,"24-25/1",
IF(#REF!=8,"24-25/2","Hata4")))))))),
IF(#REF!+BM317=2022,
IF(#REF!=1,"22-23/1",
IF(#REF!=2,"22-23/2",
IF(#REF!=3,"23-24/1",
IF(#REF!=4,"23-24/2",
IF(#REF!=5,"24-25/1",
IF(#REF!=6,"24-25/2",
IF(#REF!=7,"25-26/1",
IF(#REF!=8,"25-26/2","Hata5")))))))),
IF(#REF!+BM317=2023,
IF(#REF!=1,"23-24/1",
IF(#REF!=2,"23-24/2",
IF(#REF!=3,"24-25/1",
IF(#REF!=4,"24-25/2",
IF(#REF!=5,"25-26/1",
IF(#REF!=6,"25-26/2",
IF(#REF!=7,"26-27/1",
IF(#REF!=8,"26-27/2","Hata6")))))))),
)))))),
IF(BE317="T",
IF(#REF!+BM317=2018,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7" s="1" t="s">
        <v>342</v>
      </c>
      <c r="L317" s="2">
        <v>2091</v>
      </c>
      <c r="N317" s="2">
        <v>2</v>
      </c>
      <c r="O317" s="6">
        <f t="shared" si="229"/>
        <v>1.5</v>
      </c>
      <c r="P317" s="2">
        <f t="shared" si="230"/>
        <v>3</v>
      </c>
      <c r="Q317" s="2">
        <v>0</v>
      </c>
      <c r="R317" s="2">
        <v>3</v>
      </c>
      <c r="S317" s="2">
        <v>0</v>
      </c>
      <c r="X317" s="3">
        <v>2</v>
      </c>
      <c r="Y317" s="1">
        <f>VLOOKUP(X317,[40]ölçme_sistemleri!I:L,2,FALSE)</f>
        <v>0</v>
      </c>
      <c r="Z317" s="1">
        <f>VLOOKUP(X317,[40]ölçme_sistemleri!I:L,3,FALSE)</f>
        <v>2</v>
      </c>
      <c r="AA317" s="1">
        <f>VLOOKUP(X317,[40]ölçme_sistemleri!I:L,4,FALSE)</f>
        <v>1</v>
      </c>
      <c r="AB317" s="1">
        <f>$O317*[40]ölçme_sistemleri!J$13</f>
        <v>1.5</v>
      </c>
      <c r="AC317" s="1">
        <f>$O317*[40]ölçme_sistemleri!K$13</f>
        <v>3</v>
      </c>
      <c r="AD317" s="1">
        <f>$O317*[40]ölçme_sistemleri!L$13</f>
        <v>4.5</v>
      </c>
      <c r="AE317" s="1">
        <f t="shared" si="216"/>
        <v>0</v>
      </c>
      <c r="AF317" s="1">
        <f t="shared" si="217"/>
        <v>6</v>
      </c>
      <c r="AG317" s="1">
        <f t="shared" si="218"/>
        <v>4.5</v>
      </c>
      <c r="AH317" s="1">
        <f t="shared" si="219"/>
        <v>10.5</v>
      </c>
      <c r="AI317" s="1">
        <v>11</v>
      </c>
      <c r="AJ317" s="1">
        <f>VLOOKUP(X317,[40]ölçme_sistemleri!I:M,5,FALSE)</f>
        <v>2</v>
      </c>
      <c r="AK317" s="1">
        <f t="shared" si="220"/>
        <v>115.5</v>
      </c>
      <c r="AL317" s="1">
        <f>((Q317+S317)*AI317)/2</f>
        <v>0</v>
      </c>
      <c r="AM317" s="1">
        <f>VLOOKUP(X317,[40]ölçme_sistemleri!I:N,6,FALSE)</f>
        <v>3</v>
      </c>
      <c r="AN317" s="1">
        <v>2</v>
      </c>
      <c r="AO317" s="1">
        <f t="shared" si="221"/>
        <v>6</v>
      </c>
      <c r="AP317" s="1">
        <v>11</v>
      </c>
      <c r="AQ317" s="1">
        <f t="shared" si="233"/>
        <v>33</v>
      </c>
      <c r="AR317" s="1">
        <f t="shared" si="222"/>
        <v>49.5</v>
      </c>
      <c r="AS317" s="1">
        <f t="shared" si="214"/>
        <v>30</v>
      </c>
      <c r="AT317" s="1">
        <f t="shared" si="223"/>
        <v>2</v>
      </c>
      <c r="AU317" s="1">
        <f t="shared" si="234"/>
        <v>0</v>
      </c>
      <c r="AV317" s="1">
        <f t="shared" si="235"/>
        <v>0</v>
      </c>
      <c r="AW317" s="1">
        <f t="shared" si="236"/>
        <v>0</v>
      </c>
      <c r="AX317" s="1">
        <f t="shared" si="237"/>
        <v>2.4000000000000004</v>
      </c>
      <c r="AY317" s="1">
        <f t="shared" si="224"/>
        <v>-8.1</v>
      </c>
      <c r="AZ317" s="1">
        <f t="shared" si="238"/>
        <v>0</v>
      </c>
      <c r="BA317" s="1">
        <f t="shared" si="225"/>
        <v>0</v>
      </c>
      <c r="BB317" s="1">
        <f t="shared" si="226"/>
        <v>0</v>
      </c>
      <c r="BC317" s="1">
        <f t="shared" si="227"/>
        <v>-6</v>
      </c>
      <c r="BD317" s="1">
        <f t="shared" si="228"/>
        <v>2.4000000000000004</v>
      </c>
      <c r="BE317" s="1" t="s">
        <v>60</v>
      </c>
      <c r="BF317" s="1">
        <f t="shared" si="239"/>
        <v>16.5</v>
      </c>
      <c r="BG317" s="1">
        <f t="shared" si="231"/>
        <v>18.899999999999999</v>
      </c>
      <c r="BH317" s="1">
        <f t="shared" si="232"/>
        <v>1</v>
      </c>
      <c r="BI317" s="1" t="e">
        <f>IF(BH317-#REF!=0,"DOĞRU","YANLIŞ")</f>
        <v>#REF!</v>
      </c>
      <c r="BJ317" s="1" t="e">
        <f>#REF!-BH317</f>
        <v>#REF!</v>
      </c>
      <c r="BK317" s="1">
        <v>0</v>
      </c>
      <c r="BM317" s="1">
        <v>0</v>
      </c>
      <c r="BT317" s="8">
        <f t="shared" si="215"/>
        <v>33</v>
      </c>
      <c r="BU317" s="25">
        <v>33</v>
      </c>
      <c r="BV317" s="18"/>
      <c r="BW317" s="19"/>
      <c r="BX317" s="19"/>
      <c r="BY317" s="19"/>
      <c r="BZ317" s="19"/>
      <c r="CA317" s="19"/>
      <c r="CB317" s="20"/>
      <c r="CC317" s="21" t="s">
        <v>446</v>
      </c>
      <c r="CD317" s="23"/>
      <c r="CL317" s="11"/>
      <c r="CM317" s="11"/>
      <c r="CN317" s="11"/>
      <c r="CO317" s="11"/>
      <c r="CP317" s="11"/>
      <c r="CQ317" s="49"/>
      <c r="CR317" s="46"/>
      <c r="CS317" s="49"/>
      <c r="CT317" s="48"/>
      <c r="CU317" s="49"/>
      <c r="CV317" s="48"/>
      <c r="CW317" s="49"/>
      <c r="CX317" s="49"/>
    </row>
    <row r="318" spans="1:103" hidden="1" x14ac:dyDescent="0.25">
      <c r="A318" s="1" t="s">
        <v>329</v>
      </c>
      <c r="B318" s="1" t="s">
        <v>80</v>
      </c>
      <c r="C318" s="1" t="s">
        <v>80</v>
      </c>
      <c r="D318" s="2" t="s">
        <v>58</v>
      </c>
      <c r="E318" s="2" t="s">
        <v>58</v>
      </c>
      <c r="F318" s="3" t="e">
        <f>IF(BE318="S",
IF(#REF!+BM318=2018,
IF(#REF!=1,"18-19/1",
IF(#REF!=2,"18-19/2",
IF(#REF!=3,"19-20/1",
IF(#REF!=4,"19-20/2",
IF(#REF!=5,"20-21/1",
IF(#REF!=6,"20-21/2",
IF(#REF!=7,"21-22/1",
IF(#REF!=8,"21-22/2","Hata1")))))))),
IF(#REF!+BM318=2019,
IF(#REF!=1,"19-20/1",
IF(#REF!=2,"19-20/2",
IF(#REF!=3,"20-21/1",
IF(#REF!=4,"20-21/2",
IF(#REF!=5,"21-22/1",
IF(#REF!=6,"21-22/2",
IF(#REF!=7,"22-23/1",
IF(#REF!=8,"22-23/2","Hata2")))))))),
IF(#REF!+BM318=2020,
IF(#REF!=1,"20-21/1",
IF(#REF!=2,"20-21/2",
IF(#REF!=3,"21-22/1",
IF(#REF!=4,"21-22/2",
IF(#REF!=5,"22-23/1",
IF(#REF!=6,"22-23/2",
IF(#REF!=7,"23-24/1",
IF(#REF!=8,"23-24/2","Hata3")))))))),
IF(#REF!+BM318=2021,
IF(#REF!=1,"21-22/1",
IF(#REF!=2,"21-22/2",
IF(#REF!=3,"22-23/1",
IF(#REF!=4,"22-23/2",
IF(#REF!=5,"23-24/1",
IF(#REF!=6,"23-24/2",
IF(#REF!=7,"24-25/1",
IF(#REF!=8,"24-25/2","Hata4")))))))),
IF(#REF!+BM318=2022,
IF(#REF!=1,"22-23/1",
IF(#REF!=2,"22-23/2",
IF(#REF!=3,"23-24/1",
IF(#REF!=4,"23-24/2",
IF(#REF!=5,"24-25/1",
IF(#REF!=6,"24-25/2",
IF(#REF!=7,"25-26/1",
IF(#REF!=8,"25-26/2","Hata5")))))))),
IF(#REF!+BM318=2023,
IF(#REF!=1,"23-24/1",
IF(#REF!=2,"23-24/2",
IF(#REF!=3,"24-25/1",
IF(#REF!=4,"24-25/2",
IF(#REF!=5,"25-26/1",
IF(#REF!=6,"25-26/2",
IF(#REF!=7,"26-27/1",
IF(#REF!=8,"26-27/2","Hata6")))))))),
)))))),
IF(BE318="T",
IF(#REF!+BM318=2018,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8" s="1" t="s">
        <v>342</v>
      </c>
      <c r="L318" s="2">
        <v>3581</v>
      </c>
      <c r="N318" s="2">
        <v>4</v>
      </c>
      <c r="O318" s="6">
        <f t="shared" si="229"/>
        <v>2</v>
      </c>
      <c r="P318" s="2">
        <f t="shared" si="230"/>
        <v>2</v>
      </c>
      <c r="Q318" s="2">
        <v>2</v>
      </c>
      <c r="R318" s="2">
        <v>0</v>
      </c>
      <c r="S318" s="2">
        <v>0</v>
      </c>
      <c r="X318" s="3">
        <v>4</v>
      </c>
      <c r="Y318" s="1">
        <f>VLOOKUP(X318,[41]ölçme_sistemleri!I:L,2,FALSE)</f>
        <v>0</v>
      </c>
      <c r="Z318" s="1">
        <f>VLOOKUP(X318,[41]ölçme_sistemleri!I:L,3,FALSE)</f>
        <v>1</v>
      </c>
      <c r="AA318" s="1">
        <f>VLOOKUP(X318,[41]ölçme_sistemleri!I:L,4,FALSE)</f>
        <v>1</v>
      </c>
      <c r="AB318" s="1">
        <f>$O318*[41]ölçme_sistemleri!J$13</f>
        <v>2</v>
      </c>
      <c r="AC318" s="1">
        <f>$O318*[41]ölçme_sistemleri!K$13</f>
        <v>4</v>
      </c>
      <c r="AD318" s="1">
        <f>$O318*[41]ölçme_sistemleri!L$13</f>
        <v>6</v>
      </c>
      <c r="AE318" s="1">
        <f t="shared" si="216"/>
        <v>0</v>
      </c>
      <c r="AF318" s="1">
        <f t="shared" si="217"/>
        <v>4</v>
      </c>
      <c r="AG318" s="1">
        <f t="shared" si="218"/>
        <v>6</v>
      </c>
      <c r="AH318" s="1">
        <f t="shared" si="219"/>
        <v>10</v>
      </c>
      <c r="AI318" s="1">
        <v>11</v>
      </c>
      <c r="AJ318" s="1">
        <f>VLOOKUP(X318,[41]ölçme_sistemleri!I:M,5,FALSE)</f>
        <v>1</v>
      </c>
      <c r="AK318" s="1">
        <f t="shared" si="220"/>
        <v>110</v>
      </c>
      <c r="AL318" s="1">
        <f>AI318*7</f>
        <v>77</v>
      </c>
      <c r="AM318" s="1">
        <f>VLOOKUP(X318,[41]ölçme_sistemleri!I:N,6,FALSE)</f>
        <v>2</v>
      </c>
      <c r="AN318" s="1">
        <v>2</v>
      </c>
      <c r="AO318" s="1">
        <f t="shared" si="221"/>
        <v>4</v>
      </c>
      <c r="AP318" s="1">
        <v>11</v>
      </c>
      <c r="AQ318" s="1">
        <f t="shared" si="233"/>
        <v>22</v>
      </c>
      <c r="AR318" s="1">
        <f t="shared" si="222"/>
        <v>113</v>
      </c>
      <c r="AS318" s="1">
        <f t="shared" si="214"/>
        <v>30</v>
      </c>
      <c r="AT318" s="1">
        <f t="shared" si="223"/>
        <v>4</v>
      </c>
      <c r="AU318" s="1">
        <f t="shared" si="234"/>
        <v>0</v>
      </c>
      <c r="AV318" s="1">
        <f t="shared" si="235"/>
        <v>0</v>
      </c>
      <c r="AW318" s="1">
        <f t="shared" si="236"/>
        <v>0</v>
      </c>
      <c r="AX318" s="1">
        <f t="shared" si="237"/>
        <v>3.2</v>
      </c>
      <c r="AY318" s="1">
        <f t="shared" si="224"/>
        <v>-6.8</v>
      </c>
      <c r="AZ318" s="1">
        <f t="shared" si="238"/>
        <v>0</v>
      </c>
      <c r="BA318" s="1">
        <f t="shared" si="225"/>
        <v>-77</v>
      </c>
      <c r="BB318" s="1">
        <f t="shared" si="226"/>
        <v>0</v>
      </c>
      <c r="BC318" s="1">
        <f t="shared" si="227"/>
        <v>-4</v>
      </c>
      <c r="BD318" s="1">
        <f t="shared" si="228"/>
        <v>3.2</v>
      </c>
      <c r="BE318" s="1" t="s">
        <v>60</v>
      </c>
      <c r="BF318" s="1">
        <f t="shared" si="239"/>
        <v>22</v>
      </c>
      <c r="BG318" s="1">
        <f t="shared" si="231"/>
        <v>25.2</v>
      </c>
      <c r="BH318" s="1">
        <f t="shared" si="232"/>
        <v>1</v>
      </c>
      <c r="BI318" s="1" t="e">
        <f>IF(BH318-#REF!=0,"DOĞRU","YANLIŞ")</f>
        <v>#REF!</v>
      </c>
      <c r="BJ318" s="1" t="e">
        <f>#REF!-BH318</f>
        <v>#REF!</v>
      </c>
      <c r="BK318" s="1">
        <v>0</v>
      </c>
      <c r="BM318" s="1">
        <v>0</v>
      </c>
      <c r="BT318" s="8">
        <f t="shared" si="215"/>
        <v>0</v>
      </c>
      <c r="BU318" s="24"/>
      <c r="BV318" s="10"/>
      <c r="BW318" s="11"/>
      <c r="BX318" s="11"/>
      <c r="BY318" s="11"/>
      <c r="BZ318" s="11"/>
      <c r="CA318" s="11"/>
      <c r="CB318" s="12"/>
      <c r="CC318" s="13"/>
      <c r="CD318" s="14"/>
      <c r="CL318" s="11"/>
      <c r="CM318" s="11"/>
      <c r="CN318" s="11"/>
      <c r="CO318" s="11"/>
      <c r="CP318" s="11"/>
      <c r="CQ318" s="49"/>
      <c r="CR318" s="46"/>
      <c r="CS318" s="49"/>
      <c r="CT318" s="48"/>
      <c r="CU318" s="49"/>
      <c r="CV318" s="48"/>
      <c r="CW318" s="49"/>
      <c r="CX318" s="49"/>
    </row>
    <row r="319" spans="1:103" hidden="1" x14ac:dyDescent="0.25">
      <c r="A319" s="1" t="s">
        <v>350</v>
      </c>
      <c r="B319" s="1" t="s">
        <v>331</v>
      </c>
      <c r="C319" s="1" t="s">
        <v>331</v>
      </c>
      <c r="D319" s="2" t="s">
        <v>63</v>
      </c>
      <c r="E319" s="2" t="s">
        <v>63</v>
      </c>
      <c r="F319" s="3" t="e">
        <f>IF(BE319="S",
IF(#REF!+BM319=2018,
IF(#REF!=1,"18-19/1",
IF(#REF!=2,"18-19/2",
IF(#REF!=3,"19-20/1",
IF(#REF!=4,"19-20/2",
IF(#REF!=5,"20-21/1",
IF(#REF!=6,"20-21/2",
IF(#REF!=7,"21-22/1",
IF(#REF!=8,"21-22/2","Hata1")))))))),
IF(#REF!+BM319=2019,
IF(#REF!=1,"19-20/1",
IF(#REF!=2,"19-20/2",
IF(#REF!=3,"20-21/1",
IF(#REF!=4,"20-21/2",
IF(#REF!=5,"21-22/1",
IF(#REF!=6,"21-22/2",
IF(#REF!=7,"22-23/1",
IF(#REF!=8,"22-23/2","Hata2")))))))),
IF(#REF!+BM319=2020,
IF(#REF!=1,"20-21/1",
IF(#REF!=2,"20-21/2",
IF(#REF!=3,"21-22/1",
IF(#REF!=4,"21-22/2",
IF(#REF!=5,"22-23/1",
IF(#REF!=6,"22-23/2",
IF(#REF!=7,"23-24/1",
IF(#REF!=8,"23-24/2","Hata3")))))))),
IF(#REF!+BM319=2021,
IF(#REF!=1,"21-22/1",
IF(#REF!=2,"21-22/2",
IF(#REF!=3,"22-23/1",
IF(#REF!=4,"22-23/2",
IF(#REF!=5,"23-24/1",
IF(#REF!=6,"23-24/2",
IF(#REF!=7,"24-25/1",
IF(#REF!=8,"24-25/2","Hata4")))))))),
IF(#REF!+BM319=2022,
IF(#REF!=1,"22-23/1",
IF(#REF!=2,"22-23/2",
IF(#REF!=3,"23-24/1",
IF(#REF!=4,"23-24/2",
IF(#REF!=5,"24-25/1",
IF(#REF!=6,"24-25/2",
IF(#REF!=7,"25-26/1",
IF(#REF!=8,"25-26/2","Hata5")))))))),
IF(#REF!+BM319=2023,
IF(#REF!=1,"23-24/1",
IF(#REF!=2,"23-24/2",
IF(#REF!=3,"24-25/1",
IF(#REF!=4,"24-25/2",
IF(#REF!=5,"25-26/1",
IF(#REF!=6,"25-26/2",
IF(#REF!=7,"26-27/1",
IF(#REF!=8,"26-27/2","Hata6")))))))),
)))))),
IF(BE319="T",
IF(#REF!+BM319=2018,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IF(#REF!+BM319=2019,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IF(#REF!+BM319=2020,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IF(#REF!+BM319=2021,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IF(#REF!+BM319=2022,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IF(#REF!+BM319=2023,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19" s="1" t="s">
        <v>342</v>
      </c>
      <c r="L319" s="2">
        <v>2551</v>
      </c>
      <c r="N319" s="2">
        <v>3</v>
      </c>
      <c r="O319" s="6">
        <f t="shared" si="229"/>
        <v>3</v>
      </c>
      <c r="P319" s="2">
        <f t="shared" si="230"/>
        <v>4</v>
      </c>
      <c r="Q319" s="2">
        <v>2</v>
      </c>
      <c r="R319" s="2">
        <v>2</v>
      </c>
      <c r="S319" s="2">
        <v>0</v>
      </c>
      <c r="X319" s="3">
        <v>4</v>
      </c>
      <c r="Y319" s="1">
        <f>VLOOKUP(X319,[41]ölçme_sistemleri!I:L,2,FALSE)</f>
        <v>0</v>
      </c>
      <c r="Z319" s="1">
        <f>VLOOKUP(X319,[41]ölçme_sistemleri!I:L,3,FALSE)</f>
        <v>1</v>
      </c>
      <c r="AA319" s="1">
        <f>VLOOKUP(X319,[41]ölçme_sistemleri!I:L,4,FALSE)</f>
        <v>1</v>
      </c>
      <c r="AB319" s="1">
        <f>$O319*[41]ölçme_sistemleri!J$13</f>
        <v>3</v>
      </c>
      <c r="AC319" s="1">
        <f>$O319*[41]ölçme_sistemleri!K$13</f>
        <v>6</v>
      </c>
      <c r="AD319" s="1">
        <f>$O319*[41]ölçme_sistemleri!L$13</f>
        <v>9</v>
      </c>
      <c r="AE319" s="1">
        <f t="shared" si="216"/>
        <v>0</v>
      </c>
      <c r="AF319" s="1">
        <f t="shared" si="217"/>
        <v>6</v>
      </c>
      <c r="AG319" s="1">
        <f t="shared" si="218"/>
        <v>9</v>
      </c>
      <c r="AH319" s="1">
        <f t="shared" si="219"/>
        <v>15</v>
      </c>
      <c r="AI319" s="1">
        <v>11</v>
      </c>
      <c r="AJ319" s="1">
        <f>VLOOKUP(X319,[41]ölçme_sistemleri!I:M,5,FALSE)</f>
        <v>1</v>
      </c>
      <c r="AK319" s="1">
        <f t="shared" si="220"/>
        <v>165</v>
      </c>
      <c r="AL319" s="1">
        <f>((Q319+S319)*AI319)</f>
        <v>22</v>
      </c>
      <c r="AM319" s="1">
        <f>VLOOKUP(X319,[41]ölçme_sistemleri!I:N,6,FALSE)</f>
        <v>2</v>
      </c>
      <c r="AN319" s="1">
        <v>2</v>
      </c>
      <c r="AO319" s="1">
        <f t="shared" si="221"/>
        <v>4</v>
      </c>
      <c r="AP319" s="1">
        <v>11</v>
      </c>
      <c r="AQ319" s="1">
        <f t="shared" si="233"/>
        <v>44</v>
      </c>
      <c r="AR319" s="1">
        <f t="shared" si="222"/>
        <v>85</v>
      </c>
      <c r="AS319" s="1">
        <f t="shared" si="214"/>
        <v>30</v>
      </c>
      <c r="AT319" s="1">
        <f t="shared" si="223"/>
        <v>3</v>
      </c>
      <c r="AU319" s="1">
        <f t="shared" si="234"/>
        <v>0</v>
      </c>
      <c r="AV319" s="1">
        <f t="shared" si="235"/>
        <v>0</v>
      </c>
      <c r="AW319" s="1">
        <f t="shared" si="236"/>
        <v>0</v>
      </c>
      <c r="AX319" s="1">
        <f t="shared" si="237"/>
        <v>4.8000000000000007</v>
      </c>
      <c r="AY319" s="1">
        <f t="shared" si="224"/>
        <v>-10.199999999999999</v>
      </c>
      <c r="AZ319" s="1">
        <f t="shared" si="238"/>
        <v>0</v>
      </c>
      <c r="BA319" s="1">
        <f t="shared" si="225"/>
        <v>-22</v>
      </c>
      <c r="BB319" s="1">
        <f t="shared" si="226"/>
        <v>0</v>
      </c>
      <c r="BC319" s="1">
        <f t="shared" si="227"/>
        <v>-4</v>
      </c>
      <c r="BD319" s="1">
        <f t="shared" si="228"/>
        <v>4.8000000000000007</v>
      </c>
      <c r="BE319" s="1" t="s">
        <v>60</v>
      </c>
      <c r="BF319" s="1">
        <f t="shared" si="239"/>
        <v>33</v>
      </c>
      <c r="BG319" s="1">
        <f t="shared" si="231"/>
        <v>37.799999999999997</v>
      </c>
      <c r="BH319" s="1">
        <f t="shared" si="232"/>
        <v>2</v>
      </c>
      <c r="BI319" s="1" t="e">
        <f>IF(BH319-#REF!=0,"DOĞRU","YANLIŞ")</f>
        <v>#REF!</v>
      </c>
      <c r="BJ319" s="1" t="e">
        <f>#REF!-BH319</f>
        <v>#REF!</v>
      </c>
      <c r="BK319" s="1">
        <v>0</v>
      </c>
      <c r="BM319" s="1">
        <v>0</v>
      </c>
      <c r="BT319" s="8">
        <f t="shared" si="215"/>
        <v>22</v>
      </c>
      <c r="BU319" s="25"/>
      <c r="BV319" s="18">
        <v>22</v>
      </c>
      <c r="BW319" s="19" t="s">
        <v>442</v>
      </c>
      <c r="BX319" s="19"/>
      <c r="BY319" s="19"/>
      <c r="BZ319" s="19"/>
      <c r="CA319" s="19"/>
      <c r="CB319" s="20"/>
      <c r="CC319" s="21" t="s">
        <v>443</v>
      </c>
      <c r="CD319" s="23"/>
      <c r="CL319" s="11"/>
      <c r="CM319" s="11"/>
      <c r="CN319" s="11"/>
      <c r="CO319" s="11"/>
      <c r="CP319" s="11"/>
      <c r="CQ319" s="54"/>
      <c r="CR319" s="46"/>
      <c r="CS319" s="48"/>
      <c r="CT319" s="48"/>
      <c r="CU319" s="48"/>
      <c r="CV319" s="48"/>
      <c r="CW319" s="49"/>
      <c r="CX319" s="49"/>
    </row>
    <row r="320" spans="1:103" hidden="1" x14ac:dyDescent="0.25">
      <c r="A320" s="1" t="s">
        <v>332</v>
      </c>
      <c r="B320" s="1" t="s">
        <v>333</v>
      </c>
      <c r="C320" s="1" t="s">
        <v>333</v>
      </c>
      <c r="D320" s="2" t="s">
        <v>63</v>
      </c>
      <c r="E320" s="2" t="s">
        <v>63</v>
      </c>
      <c r="F320" s="3" t="e">
        <f>IF(BE320="S",
IF(#REF!+BM320=2018,
IF(#REF!=1,"18-19/1",
IF(#REF!=2,"18-19/2",
IF(#REF!=3,"19-20/1",
IF(#REF!=4,"19-20/2",
IF(#REF!=5,"20-21/1",
IF(#REF!=6,"20-21/2",
IF(#REF!=7,"21-22/1",
IF(#REF!=8,"21-22/2","Hata1")))))))),
IF(#REF!+BM320=2019,
IF(#REF!=1,"19-20/1",
IF(#REF!=2,"19-20/2",
IF(#REF!=3,"20-21/1",
IF(#REF!=4,"20-21/2",
IF(#REF!=5,"21-22/1",
IF(#REF!=6,"21-22/2",
IF(#REF!=7,"22-23/1",
IF(#REF!=8,"22-23/2","Hata2")))))))),
IF(#REF!+BM320=2020,
IF(#REF!=1,"20-21/1",
IF(#REF!=2,"20-21/2",
IF(#REF!=3,"21-22/1",
IF(#REF!=4,"21-22/2",
IF(#REF!=5,"22-23/1",
IF(#REF!=6,"22-23/2",
IF(#REF!=7,"23-24/1",
IF(#REF!=8,"23-24/2","Hata3")))))))),
IF(#REF!+BM320=2021,
IF(#REF!=1,"21-22/1",
IF(#REF!=2,"21-22/2",
IF(#REF!=3,"22-23/1",
IF(#REF!=4,"22-23/2",
IF(#REF!=5,"23-24/1",
IF(#REF!=6,"23-24/2",
IF(#REF!=7,"24-25/1",
IF(#REF!=8,"24-25/2","Hata4")))))))),
IF(#REF!+BM320=2022,
IF(#REF!=1,"22-23/1",
IF(#REF!=2,"22-23/2",
IF(#REF!=3,"23-24/1",
IF(#REF!=4,"23-24/2",
IF(#REF!=5,"24-25/1",
IF(#REF!=6,"24-25/2",
IF(#REF!=7,"25-26/1",
IF(#REF!=8,"25-26/2","Hata5")))))))),
IF(#REF!+BM320=2023,
IF(#REF!=1,"23-24/1",
IF(#REF!=2,"23-24/2",
IF(#REF!=3,"24-25/1",
IF(#REF!=4,"24-25/2",
IF(#REF!=5,"25-26/1",
IF(#REF!=6,"25-26/2",
IF(#REF!=7,"26-27/1",
IF(#REF!=8,"26-27/2","Hata6")))))))),
)))))),
IF(BE320="T",
IF(#REF!+BM320=2018,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20" s="1" t="s">
        <v>342</v>
      </c>
      <c r="L320" s="2">
        <v>3563</v>
      </c>
      <c r="N320" s="2">
        <v>4</v>
      </c>
      <c r="O320" s="6">
        <f t="shared" si="229"/>
        <v>4</v>
      </c>
      <c r="P320" s="2">
        <f t="shared" si="230"/>
        <v>4</v>
      </c>
      <c r="Q320" s="2">
        <v>0</v>
      </c>
      <c r="R320" s="2">
        <v>0</v>
      </c>
      <c r="S320" s="2">
        <v>4</v>
      </c>
      <c r="X320" s="3">
        <v>4</v>
      </c>
      <c r="Y320" s="1">
        <f>VLOOKUP(X320,[41]ölçme_sistemleri!I:L,2,FALSE)</f>
        <v>0</v>
      </c>
      <c r="Z320" s="1">
        <f>VLOOKUP(X320,[41]ölçme_sistemleri!I:L,3,FALSE)</f>
        <v>1</v>
      </c>
      <c r="AA320" s="1">
        <f>VLOOKUP(X320,[41]ölçme_sistemleri!I:L,4,FALSE)</f>
        <v>1</v>
      </c>
      <c r="AB320" s="1">
        <f>$O320*[41]ölçme_sistemleri!J$13</f>
        <v>4</v>
      </c>
      <c r="AC320" s="1">
        <f>$O320*[41]ölçme_sistemleri!K$13</f>
        <v>8</v>
      </c>
      <c r="AD320" s="1">
        <f>$O320*[41]ölçme_sistemleri!L$13</f>
        <v>12</v>
      </c>
      <c r="AE320" s="1">
        <f t="shared" si="216"/>
        <v>0</v>
      </c>
      <c r="AF320" s="1">
        <f t="shared" si="217"/>
        <v>8</v>
      </c>
      <c r="AG320" s="1">
        <f t="shared" si="218"/>
        <v>12</v>
      </c>
      <c r="AH320" s="1">
        <f t="shared" si="219"/>
        <v>20</v>
      </c>
      <c r="AI320" s="1">
        <v>11</v>
      </c>
      <c r="AJ320" s="1">
        <f>VLOOKUP(X320,[41]ölçme_sistemleri!I:M,5,FALSE)</f>
        <v>1</v>
      </c>
      <c r="AK320" s="1">
        <f t="shared" si="220"/>
        <v>220</v>
      </c>
      <c r="AL320" s="1">
        <f>((Q320+S320)*AI320)</f>
        <v>44</v>
      </c>
      <c r="AM320" s="1">
        <f>VLOOKUP(X320,[41]ölçme_sistemleri!I:N,6,FALSE)</f>
        <v>2</v>
      </c>
      <c r="AN320" s="1">
        <v>2</v>
      </c>
      <c r="AO320" s="1">
        <f t="shared" si="221"/>
        <v>4</v>
      </c>
      <c r="AP320" s="1">
        <v>11</v>
      </c>
      <c r="AQ320" s="1">
        <f t="shared" si="233"/>
        <v>44</v>
      </c>
      <c r="AR320" s="1">
        <f t="shared" si="222"/>
        <v>112</v>
      </c>
      <c r="AS320" s="1">
        <f t="shared" si="214"/>
        <v>30</v>
      </c>
      <c r="AT320" s="1">
        <f t="shared" si="223"/>
        <v>4</v>
      </c>
      <c r="AU320" s="1">
        <f t="shared" si="234"/>
        <v>0</v>
      </c>
      <c r="AV320" s="1">
        <f t="shared" si="235"/>
        <v>0</v>
      </c>
      <c r="AW320" s="1">
        <f t="shared" si="236"/>
        <v>0</v>
      </c>
      <c r="AX320" s="1">
        <f t="shared" si="237"/>
        <v>6.4</v>
      </c>
      <c r="AY320" s="1">
        <f t="shared" si="224"/>
        <v>-13.6</v>
      </c>
      <c r="AZ320" s="1">
        <f t="shared" si="238"/>
        <v>0</v>
      </c>
      <c r="BA320" s="1">
        <f t="shared" si="225"/>
        <v>-44</v>
      </c>
      <c r="BB320" s="1">
        <f t="shared" si="226"/>
        <v>0</v>
      </c>
      <c r="BC320" s="1">
        <f t="shared" si="227"/>
        <v>-4</v>
      </c>
      <c r="BD320" s="1">
        <f t="shared" si="228"/>
        <v>6.4</v>
      </c>
      <c r="BE320" s="1" t="s">
        <v>60</v>
      </c>
      <c r="BF320" s="1">
        <f t="shared" si="239"/>
        <v>44</v>
      </c>
      <c r="BG320" s="1">
        <f t="shared" si="231"/>
        <v>50.4</v>
      </c>
      <c r="BH320" s="1">
        <f t="shared" si="232"/>
        <v>2</v>
      </c>
      <c r="BI320" s="1" t="e">
        <f>IF(BH320-#REF!=0,"DOĞRU","YANLIŞ")</f>
        <v>#REF!</v>
      </c>
      <c r="BJ320" s="1" t="e">
        <f>#REF!-BH320</f>
        <v>#REF!</v>
      </c>
      <c r="BK320" s="1">
        <v>0</v>
      </c>
      <c r="BM320" s="1">
        <v>0</v>
      </c>
      <c r="BT320" s="8">
        <f t="shared" si="215"/>
        <v>0</v>
      </c>
      <c r="BU320" s="24"/>
      <c r="BV320" s="10"/>
      <c r="BW320" s="11"/>
      <c r="BX320" s="11"/>
      <c r="BY320" s="11"/>
      <c r="BZ320" s="11"/>
      <c r="CA320" s="11"/>
      <c r="CB320" s="12"/>
      <c r="CC320" s="13"/>
      <c r="CD320" s="14"/>
      <c r="CL320" s="11"/>
      <c r="CM320" s="11"/>
      <c r="CN320" s="11"/>
      <c r="CO320" s="11"/>
      <c r="CP320" s="11"/>
      <c r="CQ320" s="46"/>
      <c r="CR320" s="46"/>
      <c r="CS320" s="48"/>
      <c r="CT320" s="48"/>
      <c r="CU320" s="48"/>
      <c r="CV320" s="48"/>
      <c r="CW320" s="49"/>
      <c r="CX320" s="49"/>
    </row>
    <row r="321" spans="1:103" hidden="1" x14ac:dyDescent="0.25">
      <c r="A321" s="1" t="s">
        <v>353</v>
      </c>
      <c r="B321" s="1" t="s">
        <v>337</v>
      </c>
      <c r="C321" s="1" t="s">
        <v>337</v>
      </c>
      <c r="D321" s="2" t="s">
        <v>63</v>
      </c>
      <c r="E321" s="2" t="s">
        <v>63</v>
      </c>
      <c r="F321" s="3" t="e">
        <f>IF(BE321="S",
IF(#REF!+BM321=2018,
IF(#REF!=1,"18-19/1",
IF(#REF!=2,"18-19/2",
IF(#REF!=3,"19-20/1",
IF(#REF!=4,"19-20/2",
IF(#REF!=5,"20-21/1",
IF(#REF!=6,"20-21/2",
IF(#REF!=7,"21-22/1",
IF(#REF!=8,"21-22/2","Hata1")))))))),
IF(#REF!+BM321=2019,
IF(#REF!=1,"19-20/1",
IF(#REF!=2,"19-20/2",
IF(#REF!=3,"20-21/1",
IF(#REF!=4,"20-21/2",
IF(#REF!=5,"21-22/1",
IF(#REF!=6,"21-22/2",
IF(#REF!=7,"22-23/1",
IF(#REF!=8,"22-23/2","Hata2")))))))),
IF(#REF!+BM321=2020,
IF(#REF!=1,"20-21/1",
IF(#REF!=2,"20-21/2",
IF(#REF!=3,"21-22/1",
IF(#REF!=4,"21-22/2",
IF(#REF!=5,"22-23/1",
IF(#REF!=6,"22-23/2",
IF(#REF!=7,"23-24/1",
IF(#REF!=8,"23-24/2","Hata3")))))))),
IF(#REF!+BM321=2021,
IF(#REF!=1,"21-22/1",
IF(#REF!=2,"21-22/2",
IF(#REF!=3,"22-23/1",
IF(#REF!=4,"22-23/2",
IF(#REF!=5,"23-24/1",
IF(#REF!=6,"23-24/2",
IF(#REF!=7,"24-25/1",
IF(#REF!=8,"24-25/2","Hata4")))))))),
IF(#REF!+BM321=2022,
IF(#REF!=1,"22-23/1",
IF(#REF!=2,"22-23/2",
IF(#REF!=3,"23-24/1",
IF(#REF!=4,"23-24/2",
IF(#REF!=5,"24-25/1",
IF(#REF!=6,"24-25/2",
IF(#REF!=7,"25-26/1",
IF(#REF!=8,"25-26/2","Hata5")))))))),
IF(#REF!+BM321=2023,
IF(#REF!=1,"23-24/1",
IF(#REF!=2,"23-24/2",
IF(#REF!=3,"24-25/1",
IF(#REF!=4,"24-25/2",
IF(#REF!=5,"25-26/1",
IF(#REF!=6,"25-26/2",
IF(#REF!=7,"26-27/1",
IF(#REF!=8,"26-27/2","Hata6")))))))),
)))))),
IF(BE321="T",
IF(#REF!+BM321=2018,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21" s="1" t="s">
        <v>342</v>
      </c>
      <c r="L321" s="2">
        <v>2847</v>
      </c>
      <c r="N321" s="2">
        <v>4</v>
      </c>
      <c r="O321" s="6">
        <f t="shared" si="229"/>
        <v>4</v>
      </c>
      <c r="P321" s="2">
        <f t="shared" si="230"/>
        <v>4</v>
      </c>
      <c r="Q321" s="2">
        <v>4</v>
      </c>
      <c r="R321" s="2">
        <v>0</v>
      </c>
      <c r="S321" s="2">
        <v>0</v>
      </c>
      <c r="X321" s="3">
        <v>4</v>
      </c>
      <c r="Y321" s="1">
        <f>VLOOKUP(X321,[40]ölçme_sistemleri!I:L,2,FALSE)</f>
        <v>0</v>
      </c>
      <c r="Z321" s="1">
        <f>VLOOKUP(X321,[40]ölçme_sistemleri!I:L,3,FALSE)</f>
        <v>1</v>
      </c>
      <c r="AA321" s="1">
        <f>VLOOKUP(X321,[40]ölçme_sistemleri!I:L,4,FALSE)</f>
        <v>1</v>
      </c>
      <c r="AB321" s="1">
        <f>$O321*[40]ölçme_sistemleri!J$13</f>
        <v>4</v>
      </c>
      <c r="AC321" s="1">
        <f>$O321*[40]ölçme_sistemleri!K$13</f>
        <v>8</v>
      </c>
      <c r="AD321" s="1">
        <f>$O321*[40]ölçme_sistemleri!L$13</f>
        <v>12</v>
      </c>
      <c r="AE321" s="1">
        <f t="shared" si="216"/>
        <v>0</v>
      </c>
      <c r="AF321" s="1">
        <f t="shared" si="217"/>
        <v>8</v>
      </c>
      <c r="AG321" s="1">
        <f t="shared" si="218"/>
        <v>12</v>
      </c>
      <c r="AH321" s="1">
        <f t="shared" si="219"/>
        <v>20</v>
      </c>
      <c r="AI321" s="1">
        <v>11</v>
      </c>
      <c r="AJ321" s="1">
        <f>VLOOKUP(X321,[40]ölçme_sistemleri!I:M,5,FALSE)</f>
        <v>1</v>
      </c>
      <c r="AK321" s="1">
        <f t="shared" si="220"/>
        <v>220</v>
      </c>
      <c r="AL321" s="1">
        <f>((Q321+S321)*AI321)</f>
        <v>44</v>
      </c>
      <c r="AM321" s="1">
        <f>VLOOKUP(X321,[40]ölçme_sistemleri!I:N,6,FALSE)</f>
        <v>2</v>
      </c>
      <c r="AN321" s="1">
        <v>2</v>
      </c>
      <c r="AO321" s="1">
        <f t="shared" si="221"/>
        <v>4</v>
      </c>
      <c r="AP321" s="1">
        <v>11</v>
      </c>
      <c r="AQ321" s="1">
        <f t="shared" si="233"/>
        <v>44</v>
      </c>
      <c r="AR321" s="1">
        <f t="shared" si="222"/>
        <v>112</v>
      </c>
      <c r="AS321" s="1">
        <f t="shared" si="214"/>
        <v>30</v>
      </c>
      <c r="AT321" s="1">
        <f t="shared" si="223"/>
        <v>4</v>
      </c>
      <c r="AU321" s="1">
        <f t="shared" si="234"/>
        <v>0</v>
      </c>
      <c r="AV321" s="1">
        <f t="shared" si="235"/>
        <v>0</v>
      </c>
      <c r="AW321" s="1">
        <f t="shared" si="236"/>
        <v>0</v>
      </c>
      <c r="AX321" s="1">
        <f t="shared" si="237"/>
        <v>6.4</v>
      </c>
      <c r="AY321" s="1">
        <f t="shared" si="224"/>
        <v>-13.6</v>
      </c>
      <c r="AZ321" s="1">
        <f t="shared" si="238"/>
        <v>0</v>
      </c>
      <c r="BA321" s="1">
        <f t="shared" si="225"/>
        <v>-44</v>
      </c>
      <c r="BB321" s="1">
        <f t="shared" si="226"/>
        <v>0</v>
      </c>
      <c r="BC321" s="1">
        <f t="shared" si="227"/>
        <v>-4</v>
      </c>
      <c r="BD321" s="1">
        <f t="shared" si="228"/>
        <v>6.4</v>
      </c>
      <c r="BE321" s="1" t="s">
        <v>60</v>
      </c>
      <c r="BF321" s="1">
        <f t="shared" si="239"/>
        <v>44</v>
      </c>
      <c r="BG321" s="1">
        <f t="shared" si="231"/>
        <v>50.4</v>
      </c>
      <c r="BH321" s="1">
        <f t="shared" si="232"/>
        <v>2</v>
      </c>
      <c r="BI321" s="1" t="e">
        <f>IF(BH321-#REF!=0,"DOĞRU","YANLIŞ")</f>
        <v>#REF!</v>
      </c>
      <c r="BJ321" s="1" t="e">
        <f>#REF!-BH321</f>
        <v>#REF!</v>
      </c>
      <c r="BK321" s="1">
        <v>0</v>
      </c>
      <c r="BM321" s="1">
        <v>0</v>
      </c>
      <c r="BT321" s="8">
        <f t="shared" si="215"/>
        <v>0</v>
      </c>
      <c r="BU321" s="24"/>
      <c r="BV321" s="10"/>
      <c r="BW321" s="11"/>
      <c r="BX321" s="11"/>
      <c r="BY321" s="11"/>
      <c r="BZ321" s="11"/>
      <c r="CA321" s="11"/>
      <c r="CB321" s="12"/>
      <c r="CC321" s="13"/>
      <c r="CD321" s="14"/>
      <c r="CL321" s="11"/>
      <c r="CM321" s="11"/>
      <c r="CN321" s="11"/>
      <c r="CO321" s="11"/>
      <c r="CP321" s="11"/>
      <c r="CQ321" s="54"/>
      <c r="CR321" s="46"/>
      <c r="CS321" s="48"/>
      <c r="CT321" s="48"/>
      <c r="CU321" s="48"/>
      <c r="CV321" s="48"/>
      <c r="CW321" s="49"/>
      <c r="CX321" s="49"/>
    </row>
    <row r="322" spans="1:103" hidden="1" x14ac:dyDescent="0.25">
      <c r="A322" s="1" t="s">
        <v>354</v>
      </c>
      <c r="B322" s="1" t="s">
        <v>339</v>
      </c>
      <c r="C322" s="1" t="s">
        <v>339</v>
      </c>
      <c r="D322" s="2" t="s">
        <v>63</v>
      </c>
      <c r="E322" s="2" t="s">
        <v>63</v>
      </c>
      <c r="F322" s="3" t="e">
        <f>IF(BE322="S",
IF(#REF!+BM322=2018,
IF(#REF!=1,"18-19/1",
IF(#REF!=2,"18-19/2",
IF(#REF!=3,"19-20/1",
IF(#REF!=4,"19-20/2",
IF(#REF!=5,"20-21/1",
IF(#REF!=6,"20-21/2",
IF(#REF!=7,"21-22/1",
IF(#REF!=8,"21-22/2","Hata1")))))))),
IF(#REF!+BM322=2019,
IF(#REF!=1,"19-20/1",
IF(#REF!=2,"19-20/2",
IF(#REF!=3,"20-21/1",
IF(#REF!=4,"20-21/2",
IF(#REF!=5,"21-22/1",
IF(#REF!=6,"21-22/2",
IF(#REF!=7,"22-23/1",
IF(#REF!=8,"22-23/2","Hata2")))))))),
IF(#REF!+BM322=2020,
IF(#REF!=1,"20-21/1",
IF(#REF!=2,"20-21/2",
IF(#REF!=3,"21-22/1",
IF(#REF!=4,"21-22/2",
IF(#REF!=5,"22-23/1",
IF(#REF!=6,"22-23/2",
IF(#REF!=7,"23-24/1",
IF(#REF!=8,"23-24/2","Hata3")))))))),
IF(#REF!+BM322=2021,
IF(#REF!=1,"21-22/1",
IF(#REF!=2,"21-22/2",
IF(#REF!=3,"22-23/1",
IF(#REF!=4,"22-23/2",
IF(#REF!=5,"23-24/1",
IF(#REF!=6,"23-24/2",
IF(#REF!=7,"24-25/1",
IF(#REF!=8,"24-25/2","Hata4")))))))),
IF(#REF!+BM322=2022,
IF(#REF!=1,"22-23/1",
IF(#REF!=2,"22-23/2",
IF(#REF!=3,"23-24/1",
IF(#REF!=4,"23-24/2",
IF(#REF!=5,"24-25/1",
IF(#REF!=6,"24-25/2",
IF(#REF!=7,"25-26/1",
IF(#REF!=8,"25-26/2","Hata5")))))))),
IF(#REF!+BM322=2023,
IF(#REF!=1,"23-24/1",
IF(#REF!=2,"23-24/2",
IF(#REF!=3,"24-25/1",
IF(#REF!=4,"24-25/2",
IF(#REF!=5,"25-26/1",
IF(#REF!=6,"25-26/2",
IF(#REF!=7,"26-27/1",
IF(#REF!=8,"26-27/2","Hata6")))))))),
)))))),
IF(BE322="T",
IF(#REF!+BM322=2018,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22" s="1" t="s">
        <v>342</v>
      </c>
      <c r="L322" s="2">
        <v>2901</v>
      </c>
      <c r="N322" s="2">
        <v>4</v>
      </c>
      <c r="O322" s="6">
        <f t="shared" si="229"/>
        <v>4</v>
      </c>
      <c r="P322" s="2">
        <f t="shared" si="230"/>
        <v>4</v>
      </c>
      <c r="Q322" s="2">
        <v>0</v>
      </c>
      <c r="R322" s="2">
        <v>0</v>
      </c>
      <c r="S322" s="2">
        <v>4</v>
      </c>
      <c r="X322" s="3">
        <v>4</v>
      </c>
      <c r="Y322" s="1">
        <f>VLOOKUP(X322,[40]ölçme_sistemleri!I:L,2,FALSE)</f>
        <v>0</v>
      </c>
      <c r="Z322" s="1">
        <f>VLOOKUP(X322,[40]ölçme_sistemleri!I:L,3,FALSE)</f>
        <v>1</v>
      </c>
      <c r="AA322" s="1">
        <f>VLOOKUP(X322,[40]ölçme_sistemleri!I:L,4,FALSE)</f>
        <v>1</v>
      </c>
      <c r="AB322" s="1">
        <f>$O322*[40]ölçme_sistemleri!J$13</f>
        <v>4</v>
      </c>
      <c r="AC322" s="1">
        <f>$O322*[40]ölçme_sistemleri!K$13</f>
        <v>8</v>
      </c>
      <c r="AD322" s="1">
        <f>$O322*[40]ölçme_sistemleri!L$13</f>
        <v>12</v>
      </c>
      <c r="AE322" s="1">
        <f t="shared" si="216"/>
        <v>0</v>
      </c>
      <c r="AF322" s="1">
        <f t="shared" si="217"/>
        <v>8</v>
      </c>
      <c r="AG322" s="1">
        <f t="shared" si="218"/>
        <v>12</v>
      </c>
      <c r="AH322" s="1">
        <f t="shared" si="219"/>
        <v>20</v>
      </c>
      <c r="AI322" s="1">
        <v>11</v>
      </c>
      <c r="AJ322" s="1">
        <f>VLOOKUP(X322,[40]ölçme_sistemleri!I:M,5,FALSE)</f>
        <v>1</v>
      </c>
      <c r="AK322" s="1">
        <f t="shared" si="220"/>
        <v>220</v>
      </c>
      <c r="AL322" s="1">
        <f>((Q322+S322)*AI322)</f>
        <v>44</v>
      </c>
      <c r="AM322" s="1">
        <f>VLOOKUP(X322,[40]ölçme_sistemleri!I:N,6,FALSE)</f>
        <v>2</v>
      </c>
      <c r="AN322" s="1">
        <v>2</v>
      </c>
      <c r="AO322" s="1">
        <f t="shared" si="221"/>
        <v>4</v>
      </c>
      <c r="AP322" s="1">
        <v>11</v>
      </c>
      <c r="AQ322" s="1">
        <f t="shared" si="233"/>
        <v>44</v>
      </c>
      <c r="AR322" s="1">
        <f t="shared" si="222"/>
        <v>112</v>
      </c>
      <c r="AS322" s="1">
        <f t="shared" si="214"/>
        <v>30</v>
      </c>
      <c r="AT322" s="1">
        <f t="shared" si="223"/>
        <v>4</v>
      </c>
      <c r="AU322" s="1">
        <f t="shared" si="234"/>
        <v>0</v>
      </c>
      <c r="AV322" s="1">
        <f t="shared" si="235"/>
        <v>0</v>
      </c>
      <c r="AW322" s="1">
        <f t="shared" si="236"/>
        <v>0</v>
      </c>
      <c r="AX322" s="1">
        <f t="shared" si="237"/>
        <v>6.4</v>
      </c>
      <c r="AY322" s="1">
        <f t="shared" si="224"/>
        <v>-13.6</v>
      </c>
      <c r="AZ322" s="1">
        <f t="shared" si="238"/>
        <v>0</v>
      </c>
      <c r="BA322" s="1">
        <f t="shared" si="225"/>
        <v>-44</v>
      </c>
      <c r="BB322" s="1">
        <f t="shared" si="226"/>
        <v>0</v>
      </c>
      <c r="BC322" s="1">
        <f t="shared" si="227"/>
        <v>-4</v>
      </c>
      <c r="BD322" s="1">
        <f t="shared" si="228"/>
        <v>6.4</v>
      </c>
      <c r="BE322" s="1" t="s">
        <v>60</v>
      </c>
      <c r="BF322" s="1">
        <f t="shared" si="239"/>
        <v>44</v>
      </c>
      <c r="BG322" s="1">
        <f t="shared" si="231"/>
        <v>50.4</v>
      </c>
      <c r="BH322" s="1">
        <f t="shared" si="232"/>
        <v>2</v>
      </c>
      <c r="BI322" s="1" t="e">
        <f>IF(BH322-#REF!=0,"DOĞRU","YANLIŞ")</f>
        <v>#REF!</v>
      </c>
      <c r="BJ322" s="1" t="e">
        <f>#REF!-BH322</f>
        <v>#REF!</v>
      </c>
      <c r="BK322" s="1">
        <v>0</v>
      </c>
      <c r="BM322" s="1">
        <v>0</v>
      </c>
      <c r="BT322" s="8">
        <f t="shared" si="215"/>
        <v>0</v>
      </c>
      <c r="BU322" s="24"/>
      <c r="BV322" s="10"/>
      <c r="BW322" s="11"/>
      <c r="BX322" s="11"/>
      <c r="BY322" s="11"/>
      <c r="BZ322" s="11"/>
      <c r="CA322" s="11"/>
      <c r="CB322" s="12"/>
      <c r="CC322" s="13"/>
      <c r="CD322" s="14"/>
      <c r="CL322" s="11"/>
      <c r="CM322" s="11"/>
      <c r="CN322" s="11"/>
      <c r="CO322" s="11"/>
      <c r="CP322" s="11"/>
      <c r="CQ322" s="54"/>
      <c r="CR322" s="46"/>
      <c r="CS322" s="54"/>
      <c r="CT322" s="48"/>
      <c r="CU322" s="48"/>
      <c r="CV322" s="48"/>
      <c r="CW322" s="49"/>
      <c r="CX322" s="49"/>
    </row>
    <row r="323" spans="1:103" hidden="1" x14ac:dyDescent="0.25">
      <c r="A323" s="1" t="s">
        <v>359</v>
      </c>
      <c r="B323" s="1" t="s">
        <v>358</v>
      </c>
      <c r="C323" s="1" t="s">
        <v>358</v>
      </c>
      <c r="D323" s="2" t="s">
        <v>63</v>
      </c>
      <c r="E323" s="2" t="s">
        <v>63</v>
      </c>
      <c r="F323" s="3" t="e">
        <f>IF(BE323="S",
IF(#REF!+BM323=2018,
IF(#REF!=1,"18-19/1",
IF(#REF!=2,"18-19/2",
IF(#REF!=3,"19-20/1",
IF(#REF!=4,"19-20/2",
IF(#REF!=5,"20-21/1",
IF(#REF!=6,"20-21/2",
IF(#REF!=7,"21-22/1",
IF(#REF!=8,"21-22/2","Hata1")))))))),
IF(#REF!+BM323=2019,
IF(#REF!=1,"19-20/1",
IF(#REF!=2,"19-20/2",
IF(#REF!=3,"20-21/1",
IF(#REF!=4,"20-21/2",
IF(#REF!=5,"21-22/1",
IF(#REF!=6,"21-22/2",
IF(#REF!=7,"22-23/1",
IF(#REF!=8,"22-23/2","Hata2")))))))),
IF(#REF!+BM323=2020,
IF(#REF!=1,"20-21/1",
IF(#REF!=2,"20-21/2",
IF(#REF!=3,"21-22/1",
IF(#REF!=4,"21-22/2",
IF(#REF!=5,"22-23/1",
IF(#REF!=6,"22-23/2",
IF(#REF!=7,"23-24/1",
IF(#REF!=8,"23-24/2","Hata3")))))))),
IF(#REF!+BM323=2021,
IF(#REF!=1,"21-22/1",
IF(#REF!=2,"21-22/2",
IF(#REF!=3,"22-23/1",
IF(#REF!=4,"22-23/2",
IF(#REF!=5,"23-24/1",
IF(#REF!=6,"23-24/2",
IF(#REF!=7,"24-25/1",
IF(#REF!=8,"24-25/2","Hata4")))))))),
IF(#REF!+BM323=2022,
IF(#REF!=1,"22-23/1",
IF(#REF!=2,"22-23/2",
IF(#REF!=3,"23-24/1",
IF(#REF!=4,"23-24/2",
IF(#REF!=5,"24-25/1",
IF(#REF!=6,"24-25/2",
IF(#REF!=7,"25-26/1",
IF(#REF!=8,"25-26/2","Hata5")))))))),
IF(#REF!+BM323=2023,
IF(#REF!=1,"23-24/1",
IF(#REF!=2,"23-24/2",
IF(#REF!=3,"24-25/1",
IF(#REF!=4,"24-25/2",
IF(#REF!=5,"25-26/1",
IF(#REF!=6,"25-26/2",
IF(#REF!=7,"26-27/1",
IF(#REF!=8,"26-27/2","Hata6")))))))),
)))))),
IF(BE323="T",
IF(#REF!+BM323=2018,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23" s="1" t="s">
        <v>182</v>
      </c>
      <c r="L323" s="2">
        <v>4370</v>
      </c>
      <c r="N323" s="2">
        <v>1</v>
      </c>
      <c r="O323" s="6">
        <f t="shared" si="229"/>
        <v>1</v>
      </c>
      <c r="P323" s="2">
        <f t="shared" si="230"/>
        <v>1</v>
      </c>
      <c r="Q323" s="2">
        <v>1</v>
      </c>
      <c r="R323" s="2">
        <v>0</v>
      </c>
      <c r="S323" s="2">
        <v>0</v>
      </c>
      <c r="X323" s="3">
        <v>0</v>
      </c>
      <c r="Y323" s="1">
        <f>VLOOKUP(X323,[4]ölçme_sistemleri!I:L,2,FALSE)</f>
        <v>0</v>
      </c>
      <c r="Z323" s="1">
        <f>VLOOKUP(X323,[4]ölçme_sistemleri!I:L,3,FALSE)</f>
        <v>0</v>
      </c>
      <c r="AA323" s="1">
        <f>VLOOKUP(X323,[4]ölçme_sistemleri!I:L,4,FALSE)</f>
        <v>0</v>
      </c>
      <c r="AB323" s="1">
        <f>$O323*[4]ölçme_sistemleri!J$13</f>
        <v>1</v>
      </c>
      <c r="AC323" s="1">
        <f>$O323*[4]ölçme_sistemleri!K$13</f>
        <v>2</v>
      </c>
      <c r="AD323" s="1">
        <f>$O323*[4]ölçme_sistemleri!L$13</f>
        <v>3</v>
      </c>
      <c r="AE323" s="1">
        <f t="shared" si="216"/>
        <v>0</v>
      </c>
      <c r="AF323" s="1">
        <f t="shared" si="217"/>
        <v>0</v>
      </c>
      <c r="AG323" s="1">
        <f t="shared" si="218"/>
        <v>0</v>
      </c>
      <c r="AH323" s="1">
        <f t="shared" si="219"/>
        <v>0</v>
      </c>
      <c r="AI323" s="1">
        <v>14</v>
      </c>
      <c r="AJ323" s="1">
        <f>VLOOKUP(X323,[4]ölçme_sistemleri!I:M,5,FALSE)</f>
        <v>0</v>
      </c>
      <c r="AK323" s="1">
        <f t="shared" si="220"/>
        <v>0</v>
      </c>
      <c r="AL323" s="1">
        <f>(Q323+S323)*AI323</f>
        <v>14</v>
      </c>
      <c r="AM323" s="1">
        <f>VLOOKUP(X323,[4]ölçme_sistemleri!I:N,6,FALSE)</f>
        <v>0</v>
      </c>
      <c r="AN323" s="1">
        <v>2</v>
      </c>
      <c r="AO323" s="1">
        <f t="shared" si="221"/>
        <v>0</v>
      </c>
      <c r="AP323" s="1">
        <v>14</v>
      </c>
      <c r="AQ323" s="1">
        <f t="shared" si="233"/>
        <v>14</v>
      </c>
      <c r="AR323" s="1">
        <f t="shared" si="222"/>
        <v>28</v>
      </c>
      <c r="AS323" s="1">
        <f>IF(BE323="s",25,25)</f>
        <v>25</v>
      </c>
      <c r="AT323" s="1">
        <f t="shared" si="223"/>
        <v>1</v>
      </c>
      <c r="AU323" s="1">
        <f t="shared" si="234"/>
        <v>0</v>
      </c>
      <c r="AV323" s="1">
        <f t="shared" si="235"/>
        <v>0</v>
      </c>
      <c r="AW323" s="1">
        <f t="shared" si="236"/>
        <v>0</v>
      </c>
      <c r="AX323" s="1">
        <f t="shared" si="237"/>
        <v>0</v>
      </c>
      <c r="AY323" s="1">
        <f t="shared" si="224"/>
        <v>-3</v>
      </c>
      <c r="AZ323" s="1">
        <f t="shared" si="238"/>
        <v>0</v>
      </c>
      <c r="BA323" s="1">
        <f t="shared" si="225"/>
        <v>-14</v>
      </c>
      <c r="BB323" s="1">
        <f t="shared" si="226"/>
        <v>0</v>
      </c>
      <c r="BC323" s="1">
        <f t="shared" si="227"/>
        <v>0</v>
      </c>
      <c r="BD323" s="1">
        <f t="shared" si="228"/>
        <v>0</v>
      </c>
      <c r="BE323" s="1" t="s">
        <v>65</v>
      </c>
      <c r="BF323" s="1">
        <f t="shared" si="239"/>
        <v>14</v>
      </c>
      <c r="BG323" s="1">
        <f t="shared" si="231"/>
        <v>14</v>
      </c>
      <c r="BH323" s="1">
        <f t="shared" si="232"/>
        <v>0</v>
      </c>
      <c r="BI323" s="1" t="e">
        <f>IF(BH323-#REF!=0,"DOĞRU","YANLIŞ")</f>
        <v>#REF!</v>
      </c>
      <c r="BJ323" s="1" t="e">
        <f>#REF!-BH323</f>
        <v>#REF!</v>
      </c>
      <c r="BK323" s="1">
        <v>0</v>
      </c>
      <c r="BM323" s="1">
        <v>0</v>
      </c>
      <c r="BO323" s="1">
        <v>0</v>
      </c>
      <c r="BT323" s="8">
        <f t="shared" si="215"/>
        <v>0</v>
      </c>
      <c r="BU323" s="24"/>
      <c r="BV323" s="10"/>
      <c r="BW323" s="11"/>
      <c r="BX323" s="11"/>
      <c r="BY323" s="11"/>
      <c r="BZ323" s="11"/>
      <c r="CA323" s="11"/>
      <c r="CB323" s="12"/>
      <c r="CC323" s="13"/>
      <c r="CD323" s="14"/>
      <c r="CL323" s="11"/>
      <c r="CM323" s="11"/>
      <c r="CN323" s="11"/>
      <c r="CO323" s="11"/>
      <c r="CP323" s="11"/>
      <c r="CQ323" s="54"/>
      <c r="CR323" s="46"/>
      <c r="CS323" s="54"/>
      <c r="CT323" s="48"/>
      <c r="CU323" s="48"/>
      <c r="CV323" s="48"/>
      <c r="CW323" s="49"/>
      <c r="CX323" s="49"/>
    </row>
    <row r="324" spans="1:103" customFormat="1" hidden="1" x14ac:dyDescent="0.25">
      <c r="A324" s="1" t="s">
        <v>359</v>
      </c>
      <c r="B324" s="1" t="s">
        <v>358</v>
      </c>
      <c r="C324" s="1" t="s">
        <v>358</v>
      </c>
      <c r="D324" s="2" t="s">
        <v>63</v>
      </c>
      <c r="E324" s="2" t="s">
        <v>63</v>
      </c>
      <c r="F324" s="3" t="e">
        <f>IF(BE324="S",
IF(#REF!+BM324=2018,
IF(#REF!=1,"18-19/1",
IF(#REF!=2,"18-19/2",
IF(#REF!=3,"19-20/1",
IF(#REF!=4,"19-20/2",
IF(#REF!=5,"20-21/1",
IF(#REF!=6,"20-21/2",
IF(#REF!=7,"21-22/1",
IF(#REF!=8,"21-22/2","Hata1")))))))),
IF(#REF!+BM324=2019,
IF(#REF!=1,"19-20/1",
IF(#REF!=2,"19-20/2",
IF(#REF!=3,"20-21/1",
IF(#REF!=4,"20-21/2",
IF(#REF!=5,"21-22/1",
IF(#REF!=6,"21-22/2",
IF(#REF!=7,"22-23/1",
IF(#REF!=8,"22-23/2","Hata2")))))))),
IF(#REF!+BM324=2020,
IF(#REF!=1,"20-21/1",
IF(#REF!=2,"20-21/2",
IF(#REF!=3,"21-22/1",
IF(#REF!=4,"21-22/2",
IF(#REF!=5,"22-23/1",
IF(#REF!=6,"22-23/2",
IF(#REF!=7,"23-24/1",
IF(#REF!=8,"23-24/2","Hata3")))))))),
IF(#REF!+BM324=2021,
IF(#REF!=1,"21-22/1",
IF(#REF!=2,"21-22/2",
IF(#REF!=3,"22-23/1",
IF(#REF!=4,"22-23/2",
IF(#REF!=5,"23-24/1",
IF(#REF!=6,"23-24/2",
IF(#REF!=7,"24-25/1",
IF(#REF!=8,"24-25/2","Hata4")))))))),
IF(#REF!+BM324=2022,
IF(#REF!=1,"22-23/1",
IF(#REF!=2,"22-23/2",
IF(#REF!=3,"23-24/1",
IF(#REF!=4,"23-24/2",
IF(#REF!=5,"24-25/1",
IF(#REF!=6,"24-25/2",
IF(#REF!=7,"25-26/1",
IF(#REF!=8,"25-26/2","Hata5")))))))),
IF(#REF!+BM324=2023,
IF(#REF!=1,"23-24/1",
IF(#REF!=2,"23-24/2",
IF(#REF!=3,"24-25/1",
IF(#REF!=4,"24-25/2",
IF(#REF!=5,"25-26/1",
IF(#REF!=6,"25-26/2",
IF(#REF!=7,"26-27/1",
IF(#REF!=8,"26-27/2","Hata6")))))))),
)))))),
IF(BE324="T",
IF(#REF!+BM324=2018,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324" s="3"/>
      <c r="H324" s="3"/>
      <c r="I324" s="1" t="s">
        <v>342</v>
      </c>
      <c r="J324" s="1"/>
      <c r="K324" s="1"/>
      <c r="L324" s="2">
        <v>4370</v>
      </c>
      <c r="M324" s="1"/>
      <c r="N324" s="2">
        <v>1</v>
      </c>
      <c r="O324" s="6">
        <f t="shared" si="229"/>
        <v>1</v>
      </c>
      <c r="P324" s="2">
        <f t="shared" si="230"/>
        <v>1</v>
      </c>
      <c r="Q324" s="2">
        <v>1</v>
      </c>
      <c r="R324" s="2">
        <v>0</v>
      </c>
      <c r="S324" s="2">
        <v>0</v>
      </c>
      <c r="T324" s="1"/>
      <c r="U324" s="1"/>
      <c r="V324" s="1"/>
      <c r="W324" s="1"/>
      <c r="X324" s="3">
        <v>0</v>
      </c>
      <c r="Y324" s="1">
        <f>VLOOKUP(X324,[4]ölçme_sistemleri!I:L,2,FALSE)</f>
        <v>0</v>
      </c>
      <c r="Z324" s="1">
        <f>VLOOKUP(X324,[4]ölçme_sistemleri!I:L,3,FALSE)</f>
        <v>0</v>
      </c>
      <c r="AA324" s="1">
        <f>VLOOKUP(X324,[4]ölçme_sistemleri!I:L,4,FALSE)</f>
        <v>0</v>
      </c>
      <c r="AB324" s="1">
        <f>$O324*[4]ölçme_sistemleri!J$13</f>
        <v>1</v>
      </c>
      <c r="AC324" s="1">
        <f>$O324*[4]ölçme_sistemleri!K$13</f>
        <v>2</v>
      </c>
      <c r="AD324" s="1">
        <f>$O324*[4]ölçme_sistemleri!L$13</f>
        <v>3</v>
      </c>
      <c r="AE324" s="1">
        <f t="shared" si="216"/>
        <v>0</v>
      </c>
      <c r="AF324" s="1">
        <f t="shared" si="217"/>
        <v>0</v>
      </c>
      <c r="AG324" s="1">
        <f t="shared" si="218"/>
        <v>0</v>
      </c>
      <c r="AH324" s="1">
        <f t="shared" si="219"/>
        <v>0</v>
      </c>
      <c r="AI324" s="1">
        <v>14</v>
      </c>
      <c r="AJ324" s="1">
        <f>VLOOKUP(X324,[4]ölçme_sistemleri!I:M,5,FALSE)</f>
        <v>0</v>
      </c>
      <c r="AK324" s="1">
        <f t="shared" si="220"/>
        <v>0</v>
      </c>
      <c r="AL324" s="1">
        <f>(Q324+S324)*AI324</f>
        <v>14</v>
      </c>
      <c r="AM324" s="1">
        <f>VLOOKUP(X324,[4]ölçme_sistemleri!I:N,6,FALSE)</f>
        <v>0</v>
      </c>
      <c r="AN324" s="1">
        <v>2</v>
      </c>
      <c r="AO324" s="1">
        <f t="shared" si="221"/>
        <v>0</v>
      </c>
      <c r="AP324" s="1">
        <v>14</v>
      </c>
      <c r="AQ324" s="1">
        <f t="shared" si="233"/>
        <v>14</v>
      </c>
      <c r="AR324" s="1">
        <f t="shared" si="222"/>
        <v>28</v>
      </c>
      <c r="AS324" s="1">
        <f>IF(BE324="s",25,25)</f>
        <v>25</v>
      </c>
      <c r="AT324" s="1">
        <f t="shared" si="223"/>
        <v>1</v>
      </c>
      <c r="AU324" s="1">
        <f t="shared" si="234"/>
        <v>0</v>
      </c>
      <c r="AV324" s="1">
        <f t="shared" si="235"/>
        <v>0</v>
      </c>
      <c r="AW324" s="1">
        <f t="shared" si="236"/>
        <v>0</v>
      </c>
      <c r="AX324" s="1">
        <f t="shared" si="237"/>
        <v>0</v>
      </c>
      <c r="AY324" s="1">
        <f t="shared" si="224"/>
        <v>-3</v>
      </c>
      <c r="AZ324" s="1">
        <f t="shared" si="238"/>
        <v>0</v>
      </c>
      <c r="BA324" s="1">
        <f t="shared" si="225"/>
        <v>-14</v>
      </c>
      <c r="BB324" s="1">
        <f t="shared" si="226"/>
        <v>0</v>
      </c>
      <c r="BC324" s="1">
        <f t="shared" si="227"/>
        <v>0</v>
      </c>
      <c r="BD324" s="1">
        <f t="shared" si="228"/>
        <v>0</v>
      </c>
      <c r="BE324" s="1" t="s">
        <v>65</v>
      </c>
      <c r="BF324" s="1">
        <f t="shared" si="239"/>
        <v>14</v>
      </c>
      <c r="BG324" s="1">
        <f t="shared" si="231"/>
        <v>14</v>
      </c>
      <c r="BH324" s="1">
        <f t="shared" si="232"/>
        <v>0</v>
      </c>
      <c r="BI324" s="1" t="e">
        <f>IF(BH324-#REF!=0,"DOĞRU","YANLIŞ")</f>
        <v>#REF!</v>
      </c>
      <c r="BJ324" s="1" t="e">
        <f>#REF!-BH324</f>
        <v>#REF!</v>
      </c>
      <c r="BK324" s="1">
        <v>0</v>
      </c>
      <c r="BL324" s="1"/>
      <c r="BM324" s="1">
        <v>0</v>
      </c>
      <c r="BN324" s="1"/>
      <c r="BO324" s="1">
        <v>0</v>
      </c>
      <c r="BP324" s="1"/>
      <c r="BQ324" s="1"/>
      <c r="BR324" s="1"/>
      <c r="BS324" s="1"/>
      <c r="BT324" s="8">
        <f t="shared" si="215"/>
        <v>0</v>
      </c>
      <c r="BU324" s="24"/>
      <c r="BV324" s="10"/>
      <c r="BW324" s="11"/>
      <c r="BX324" s="11"/>
      <c r="BY324" s="11"/>
      <c r="BZ324" s="11"/>
      <c r="CA324" s="11"/>
      <c r="CB324" s="12"/>
      <c r="CC324" s="13"/>
      <c r="CD324" s="14"/>
      <c r="CE324" s="1"/>
      <c r="CF324" s="1"/>
      <c r="CG324" s="1"/>
      <c r="CH324" s="1"/>
      <c r="CI324" s="1"/>
      <c r="CL324" s="11"/>
      <c r="CM324" s="11"/>
      <c r="CN324" s="11"/>
      <c r="CO324" s="11"/>
      <c r="CP324" s="11"/>
      <c r="CQ324" s="46"/>
      <c r="CR324" s="46"/>
      <c r="CS324" s="48"/>
      <c r="CT324" s="48"/>
      <c r="CU324" s="48"/>
      <c r="CV324" s="48"/>
      <c r="CW324" s="49"/>
      <c r="CX324" s="49"/>
      <c r="CY324" s="1"/>
    </row>
    <row r="325" spans="1:103" customFormat="1" hidden="1" x14ac:dyDescent="0.25">
      <c r="A325" s="1" t="s">
        <v>359</v>
      </c>
      <c r="B325" s="1" t="s">
        <v>358</v>
      </c>
      <c r="C325" s="1" t="s">
        <v>358</v>
      </c>
      <c r="D325" s="2" t="s">
        <v>63</v>
      </c>
      <c r="E325" s="2" t="s">
        <v>63</v>
      </c>
      <c r="F325" s="3" t="e">
        <f>IF(BE325="S",
IF(#REF!+BM325=2018,
IF(#REF!=1,"18-19/1",
IF(#REF!=2,"18-19/2",
IF(#REF!=3,"19-20/1",
IF(#REF!=4,"19-20/2",
IF(#REF!=5,"20-21/1",
IF(#REF!=6,"20-21/2",
IF(#REF!=7,"21-22/1",
IF(#REF!=8,"21-22/2","Hata1")))))))),
IF(#REF!+BM325=2019,
IF(#REF!=1,"19-20/1",
IF(#REF!=2,"19-20/2",
IF(#REF!=3,"20-21/1",
IF(#REF!=4,"20-21/2",
IF(#REF!=5,"21-22/1",
IF(#REF!=6,"21-22/2",
IF(#REF!=7,"22-23/1",
IF(#REF!=8,"22-23/2","Hata2")))))))),
IF(#REF!+BM325=2020,
IF(#REF!=1,"20-21/1",
IF(#REF!=2,"20-21/2",
IF(#REF!=3,"21-22/1",
IF(#REF!=4,"21-22/2",
IF(#REF!=5,"22-23/1",
IF(#REF!=6,"22-23/2",
IF(#REF!=7,"23-24/1",
IF(#REF!=8,"23-24/2","Hata3")))))))),
IF(#REF!+BM325=2021,
IF(#REF!=1,"21-22/1",
IF(#REF!=2,"21-22/2",
IF(#REF!=3,"22-23/1",
IF(#REF!=4,"22-23/2",
IF(#REF!=5,"23-24/1",
IF(#REF!=6,"23-24/2",
IF(#REF!=7,"24-25/1",
IF(#REF!=8,"24-25/2","Hata4")))))))),
IF(#REF!+BM325=2022,
IF(#REF!=1,"22-23/1",
IF(#REF!=2,"22-23/2",
IF(#REF!=3,"23-24/1",
IF(#REF!=4,"23-24/2",
IF(#REF!=5,"24-25/1",
IF(#REF!=6,"24-25/2",
IF(#REF!=7,"25-26/1",
IF(#REF!=8,"25-26/2","Hata5")))))))),
IF(#REF!+BM325=2023,
IF(#REF!=1,"23-24/1",
IF(#REF!=2,"23-24/2",
IF(#REF!=3,"24-25/1",
IF(#REF!=4,"24-25/2",
IF(#REF!=5,"25-26/1",
IF(#REF!=6,"25-26/2",
IF(#REF!=7,"26-27/1",
IF(#REF!=8,"26-27/2","Hata6")))))))),
)))))),
IF(BE325="T",
IF(#REF!+BM325=2018,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325" s="3"/>
      <c r="H325" s="3"/>
      <c r="I325" s="1" t="s">
        <v>342</v>
      </c>
      <c r="J325" s="1"/>
      <c r="K325" s="1"/>
      <c r="L325" s="2">
        <v>4370</v>
      </c>
      <c r="M325" s="1"/>
      <c r="N325" s="2">
        <v>1</v>
      </c>
      <c r="O325" s="6">
        <f t="shared" si="229"/>
        <v>1</v>
      </c>
      <c r="P325" s="2">
        <f t="shared" si="230"/>
        <v>1</v>
      </c>
      <c r="Q325" s="2">
        <v>1</v>
      </c>
      <c r="R325" s="2">
        <v>0</v>
      </c>
      <c r="S325" s="2">
        <v>0</v>
      </c>
      <c r="T325" s="1"/>
      <c r="U325" s="1"/>
      <c r="V325" s="1"/>
      <c r="W325" s="1"/>
      <c r="X325" s="3">
        <v>0</v>
      </c>
      <c r="Y325" s="1">
        <f>VLOOKUP(X325,[4]ölçme_sistemleri!I:L,2,FALSE)</f>
        <v>0</v>
      </c>
      <c r="Z325" s="1">
        <f>VLOOKUP(X325,[4]ölçme_sistemleri!I:L,3,FALSE)</f>
        <v>0</v>
      </c>
      <c r="AA325" s="1">
        <f>VLOOKUP(X325,[4]ölçme_sistemleri!I:L,4,FALSE)</f>
        <v>0</v>
      </c>
      <c r="AB325" s="1">
        <f>$O325*[4]ölçme_sistemleri!J$13</f>
        <v>1</v>
      </c>
      <c r="AC325" s="1">
        <f>$O325*[4]ölçme_sistemleri!K$13</f>
        <v>2</v>
      </c>
      <c r="AD325" s="1">
        <f>$O325*[4]ölçme_sistemleri!L$13</f>
        <v>3</v>
      </c>
      <c r="AE325" s="1">
        <f t="shared" si="216"/>
        <v>0</v>
      </c>
      <c r="AF325" s="1">
        <f t="shared" si="217"/>
        <v>0</v>
      </c>
      <c r="AG325" s="1">
        <f t="shared" si="218"/>
        <v>0</v>
      </c>
      <c r="AH325" s="1">
        <f t="shared" si="219"/>
        <v>0</v>
      </c>
      <c r="AI325" s="1">
        <v>14</v>
      </c>
      <c r="AJ325" s="1">
        <f>VLOOKUP(X325,[4]ölçme_sistemleri!I:M,5,FALSE)</f>
        <v>0</v>
      </c>
      <c r="AK325" s="1">
        <f t="shared" si="220"/>
        <v>0</v>
      </c>
      <c r="AL325" s="1">
        <f>(Q325+S325)*AI325</f>
        <v>14</v>
      </c>
      <c r="AM325" s="1">
        <f>VLOOKUP(X325,[4]ölçme_sistemleri!I:N,6,FALSE)</f>
        <v>0</v>
      </c>
      <c r="AN325" s="1">
        <v>2</v>
      </c>
      <c r="AO325" s="1">
        <f t="shared" si="221"/>
        <v>0</v>
      </c>
      <c r="AP325" s="1">
        <v>14</v>
      </c>
      <c r="AQ325" s="1">
        <f t="shared" si="233"/>
        <v>14</v>
      </c>
      <c r="AR325" s="1">
        <f t="shared" si="222"/>
        <v>28</v>
      </c>
      <c r="AS325" s="1">
        <f>IF(BE325="s",25,25)</f>
        <v>25</v>
      </c>
      <c r="AT325" s="1">
        <f t="shared" si="223"/>
        <v>1</v>
      </c>
      <c r="AU325" s="1">
        <f t="shared" si="234"/>
        <v>0</v>
      </c>
      <c r="AV325" s="1">
        <f t="shared" si="235"/>
        <v>0</v>
      </c>
      <c r="AW325" s="1">
        <f t="shared" si="236"/>
        <v>0</v>
      </c>
      <c r="AX325" s="1">
        <f t="shared" si="237"/>
        <v>0</v>
      </c>
      <c r="AY325" s="1">
        <f t="shared" si="224"/>
        <v>-3</v>
      </c>
      <c r="AZ325" s="1">
        <f t="shared" si="238"/>
        <v>0</v>
      </c>
      <c r="BA325" s="1">
        <f t="shared" si="225"/>
        <v>-14</v>
      </c>
      <c r="BB325" s="1">
        <f t="shared" si="226"/>
        <v>0</v>
      </c>
      <c r="BC325" s="1">
        <f t="shared" si="227"/>
        <v>0</v>
      </c>
      <c r="BD325" s="1">
        <f t="shared" si="228"/>
        <v>0</v>
      </c>
      <c r="BE325" s="1" t="s">
        <v>65</v>
      </c>
      <c r="BF325" s="1">
        <f t="shared" si="239"/>
        <v>14</v>
      </c>
      <c r="BG325" s="1">
        <f t="shared" si="231"/>
        <v>14</v>
      </c>
      <c r="BH325" s="1">
        <f t="shared" si="232"/>
        <v>0</v>
      </c>
      <c r="BI325" s="1" t="e">
        <f>IF(BH325-#REF!=0,"DOĞRU","YANLIŞ")</f>
        <v>#REF!</v>
      </c>
      <c r="BJ325" s="1" t="e">
        <f>#REF!-BH325</f>
        <v>#REF!</v>
      </c>
      <c r="BK325" s="1">
        <v>0</v>
      </c>
      <c r="BL325" s="1"/>
      <c r="BM325" s="1">
        <v>0</v>
      </c>
      <c r="BN325" s="1"/>
      <c r="BO325" s="1">
        <v>0</v>
      </c>
      <c r="BP325" s="1"/>
      <c r="BQ325" s="1"/>
      <c r="BR325" s="1"/>
      <c r="BS325" s="1"/>
      <c r="BT325" s="8">
        <f t="shared" si="215"/>
        <v>0</v>
      </c>
      <c r="BU325" s="24"/>
      <c r="BV325" s="10"/>
      <c r="BW325" s="11"/>
      <c r="BX325" s="11"/>
      <c r="BY325" s="11"/>
      <c r="BZ325" s="11"/>
      <c r="CA325" s="11"/>
      <c r="CB325" s="12"/>
      <c r="CC325" s="13"/>
      <c r="CD325" s="14"/>
      <c r="CE325" s="1"/>
      <c r="CF325" s="1"/>
      <c r="CG325" s="1"/>
      <c r="CH325" s="1"/>
      <c r="CI325" s="1"/>
      <c r="CL325" s="11"/>
      <c r="CM325" s="11"/>
      <c r="CN325" s="11"/>
      <c r="CO325" s="11"/>
      <c r="CP325" s="11"/>
      <c r="CQ325" s="54"/>
      <c r="CR325" s="55"/>
      <c r="CS325" s="55"/>
      <c r="CT325" s="55"/>
      <c r="CU325" s="48"/>
      <c r="CV325" s="48"/>
      <c r="CW325" s="49"/>
      <c r="CX325" s="49"/>
      <c r="CY325" s="1"/>
    </row>
    <row r="326" spans="1:103" customFormat="1" hidden="1" x14ac:dyDescent="0.25">
      <c r="A326" s="1" t="s">
        <v>343</v>
      </c>
      <c r="B326" s="1" t="s">
        <v>344</v>
      </c>
      <c r="C326" s="1" t="s">
        <v>344</v>
      </c>
      <c r="D326" s="2" t="s">
        <v>63</v>
      </c>
      <c r="E326" s="2" t="s">
        <v>63</v>
      </c>
      <c r="F326" s="3" t="e">
        <f>IF(BE326="S",
IF(#REF!+BM326=2018,
IF(#REF!=1,"18-19/1",
IF(#REF!=2,"18-19/2",
IF(#REF!=3,"19-20/1",
IF(#REF!=4,"19-20/2",
IF(#REF!=5,"20-21/1",
IF(#REF!=6,"20-21/2",
IF(#REF!=7,"21-22/1",
IF(#REF!=8,"21-22/2","Hata1")))))))),
IF(#REF!+BM326=2019,
IF(#REF!=1,"19-20/1",
IF(#REF!=2,"19-20/2",
IF(#REF!=3,"20-21/1",
IF(#REF!=4,"20-21/2",
IF(#REF!=5,"21-22/1",
IF(#REF!=6,"21-22/2",
IF(#REF!=7,"22-23/1",
IF(#REF!=8,"22-23/2","Hata2")))))))),
IF(#REF!+BM326=2020,
IF(#REF!=1,"20-21/1",
IF(#REF!=2,"20-21/2",
IF(#REF!=3,"21-22/1",
IF(#REF!=4,"21-22/2",
IF(#REF!=5,"22-23/1",
IF(#REF!=6,"22-23/2",
IF(#REF!=7,"23-24/1",
IF(#REF!=8,"23-24/2","Hata3")))))))),
IF(#REF!+BM326=2021,
IF(#REF!=1,"21-22/1",
IF(#REF!=2,"21-22/2",
IF(#REF!=3,"22-23/1",
IF(#REF!=4,"22-23/2",
IF(#REF!=5,"23-24/1",
IF(#REF!=6,"23-24/2",
IF(#REF!=7,"24-25/1",
IF(#REF!=8,"24-25/2","Hata4")))))))),
IF(#REF!+BM326=2022,
IF(#REF!=1,"22-23/1",
IF(#REF!=2,"22-23/2",
IF(#REF!=3,"23-24/1",
IF(#REF!=4,"23-24/2",
IF(#REF!=5,"24-25/1",
IF(#REF!=6,"24-25/2",
IF(#REF!=7,"25-26/1",
IF(#REF!=8,"25-26/2","Hata5")))))))),
IF(#REF!+BM326=2023,
IF(#REF!=1,"23-24/1",
IF(#REF!=2,"23-24/2",
IF(#REF!=3,"24-25/1",
IF(#REF!=4,"24-25/2",
IF(#REF!=5,"25-26/1",
IF(#REF!=6,"25-26/2",
IF(#REF!=7,"26-27/1",
IF(#REF!=8,"26-27/2","Hata6")))))))),
)))))),
IF(BE326="T",
IF(#REF!+BM326=2018,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IF(#REF!+BM326=2019,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IF(#REF!+BM326=2020,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IF(#REF!+BM326=2021,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IF(#REF!+BM326=2022,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IF(#REF!+BM326=2023,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326" s="3"/>
      <c r="H326" s="3"/>
      <c r="I326" s="1" t="s">
        <v>182</v>
      </c>
      <c r="J326" s="1"/>
      <c r="K326" s="1"/>
      <c r="L326" s="2">
        <v>3591</v>
      </c>
      <c r="M326" s="1"/>
      <c r="N326" s="2">
        <v>4</v>
      </c>
      <c r="O326" s="6">
        <f t="shared" si="229"/>
        <v>4</v>
      </c>
      <c r="P326" s="2">
        <f t="shared" si="230"/>
        <v>4</v>
      </c>
      <c r="Q326" s="2">
        <v>4</v>
      </c>
      <c r="R326" s="2">
        <v>0</v>
      </c>
      <c r="S326" s="2">
        <v>0</v>
      </c>
      <c r="T326" s="1"/>
      <c r="U326" s="1"/>
      <c r="V326" s="1"/>
      <c r="W326" s="1"/>
      <c r="X326" s="3">
        <v>4</v>
      </c>
      <c r="Y326" s="1">
        <f>VLOOKUP(X326,[42]ölçme_sistemleri!I:L,2,FALSE)</f>
        <v>0</v>
      </c>
      <c r="Z326" s="1">
        <f>VLOOKUP(X326,[42]ölçme_sistemleri!I:L,3,FALSE)</f>
        <v>1</v>
      </c>
      <c r="AA326" s="1">
        <f>VLOOKUP(X326,[42]ölçme_sistemleri!I:L,4,FALSE)</f>
        <v>1</v>
      </c>
      <c r="AB326" s="1">
        <f>$O326*[42]ölçme_sistemleri!J$13</f>
        <v>4</v>
      </c>
      <c r="AC326" s="1">
        <f>$O326*[42]ölçme_sistemleri!K$13</f>
        <v>8</v>
      </c>
      <c r="AD326" s="1">
        <f>$O326*[42]ölçme_sistemleri!L$13</f>
        <v>12</v>
      </c>
      <c r="AE326" s="1">
        <f t="shared" si="216"/>
        <v>0</v>
      </c>
      <c r="AF326" s="1">
        <f t="shared" si="217"/>
        <v>8</v>
      </c>
      <c r="AG326" s="1">
        <f t="shared" si="218"/>
        <v>12</v>
      </c>
      <c r="AH326" s="1">
        <f t="shared" si="219"/>
        <v>20</v>
      </c>
      <c r="AI326" s="1">
        <v>11</v>
      </c>
      <c r="AJ326" s="1">
        <f>VLOOKUP(X326,[42]ölçme_sistemleri!I:M,5,FALSE)</f>
        <v>1</v>
      </c>
      <c r="AK326" s="1">
        <f t="shared" si="220"/>
        <v>220</v>
      </c>
      <c r="AL326" s="1">
        <f>((Q326+S326)*AI326)</f>
        <v>44</v>
      </c>
      <c r="AM326" s="1">
        <f>VLOOKUP(X326,[42]ölçme_sistemleri!I:N,6,FALSE)</f>
        <v>2</v>
      </c>
      <c r="AN326" s="1">
        <v>2</v>
      </c>
      <c r="AO326" s="1">
        <f t="shared" si="221"/>
        <v>4</v>
      </c>
      <c r="AP326" s="1">
        <v>11</v>
      </c>
      <c r="AQ326" s="1">
        <f t="shared" si="233"/>
        <v>44</v>
      </c>
      <c r="AR326" s="1">
        <f t="shared" si="222"/>
        <v>112</v>
      </c>
      <c r="AS326" s="1">
        <f t="shared" ref="AS326:AS331" si="240">IF(BE326="s",25,30)</f>
        <v>30</v>
      </c>
      <c r="AT326" s="1">
        <f t="shared" si="223"/>
        <v>4</v>
      </c>
      <c r="AU326" s="1">
        <f t="shared" si="234"/>
        <v>0</v>
      </c>
      <c r="AV326" s="1">
        <f t="shared" si="235"/>
        <v>0</v>
      </c>
      <c r="AW326" s="1">
        <f t="shared" si="236"/>
        <v>0</v>
      </c>
      <c r="AX326" s="1">
        <f t="shared" si="237"/>
        <v>6.4</v>
      </c>
      <c r="AY326" s="1">
        <f t="shared" si="224"/>
        <v>-13.6</v>
      </c>
      <c r="AZ326" s="1">
        <f t="shared" si="238"/>
        <v>0</v>
      </c>
      <c r="BA326" s="1">
        <f t="shared" si="225"/>
        <v>-44</v>
      </c>
      <c r="BB326" s="1">
        <f t="shared" si="226"/>
        <v>0</v>
      </c>
      <c r="BC326" s="1">
        <f t="shared" si="227"/>
        <v>-4</v>
      </c>
      <c r="BD326" s="1">
        <f t="shared" si="228"/>
        <v>6.4</v>
      </c>
      <c r="BE326" s="1" t="s">
        <v>60</v>
      </c>
      <c r="BF326" s="1">
        <f t="shared" si="239"/>
        <v>44</v>
      </c>
      <c r="BG326" s="1">
        <f t="shared" si="231"/>
        <v>50.4</v>
      </c>
      <c r="BH326" s="1">
        <f t="shared" si="232"/>
        <v>2</v>
      </c>
      <c r="BI326" s="1" t="e">
        <f>IF(BH326-#REF!=0,"DOĞRU","YANLIŞ")</f>
        <v>#REF!</v>
      </c>
      <c r="BJ326" s="1" t="e">
        <f>#REF!-BH326</f>
        <v>#REF!</v>
      </c>
      <c r="BK326" s="1">
        <v>0</v>
      </c>
      <c r="BL326" s="1"/>
      <c r="BM326" s="1">
        <v>0</v>
      </c>
      <c r="BN326" s="1"/>
      <c r="BO326" s="1"/>
      <c r="BP326" s="1"/>
      <c r="BQ326" s="1"/>
      <c r="BR326" s="1"/>
      <c r="BS326" s="1"/>
      <c r="BT326" s="8">
        <f t="shared" si="215"/>
        <v>0</v>
      </c>
      <c r="BU326" s="24"/>
      <c r="BV326" s="10"/>
      <c r="BW326" s="11"/>
      <c r="BX326" s="11"/>
      <c r="BY326" s="11"/>
      <c r="BZ326" s="11"/>
      <c r="CA326" s="11"/>
      <c r="CB326" s="12"/>
      <c r="CC326" s="13"/>
      <c r="CD326" s="14"/>
      <c r="CE326" s="1"/>
      <c r="CF326" s="1"/>
      <c r="CG326" s="1"/>
      <c r="CH326" s="1"/>
      <c r="CI326" s="1"/>
      <c r="CL326" s="11"/>
      <c r="CM326" s="11"/>
      <c r="CN326" s="11"/>
      <c r="CO326" s="11"/>
      <c r="CP326" s="11"/>
      <c r="CQ326" s="49"/>
      <c r="CR326" s="46"/>
      <c r="CS326" s="54"/>
      <c r="CT326" s="48"/>
      <c r="CU326" s="48"/>
      <c r="CV326" s="48"/>
      <c r="CW326" s="49"/>
      <c r="CX326" s="49"/>
      <c r="CY326" s="1"/>
    </row>
    <row r="327" spans="1:103" customFormat="1" hidden="1" x14ac:dyDescent="0.25">
      <c r="A327" s="1" t="s">
        <v>312</v>
      </c>
      <c r="B327" s="1" t="s">
        <v>313</v>
      </c>
      <c r="C327" s="1" t="s">
        <v>313</v>
      </c>
      <c r="D327" s="2" t="s">
        <v>63</v>
      </c>
      <c r="E327" s="2" t="s">
        <v>63</v>
      </c>
      <c r="F327" s="3" t="e">
        <f>IF(BE327="S",
IF(#REF!+BM327=2018,
IF(#REF!=1,"18-19/1",
IF(#REF!=2,"18-19/2",
IF(#REF!=3,"19-20/1",
IF(#REF!=4,"19-20/2",
IF(#REF!=5,"20-21/1",
IF(#REF!=6,"20-21/2",
IF(#REF!=7,"21-22/1",
IF(#REF!=8,"21-22/2","Hata1")))))))),
IF(#REF!+BM327=2019,
IF(#REF!=1,"19-20/1",
IF(#REF!=2,"19-20/2",
IF(#REF!=3,"20-21/1",
IF(#REF!=4,"20-21/2",
IF(#REF!=5,"21-22/1",
IF(#REF!=6,"21-22/2",
IF(#REF!=7,"22-23/1",
IF(#REF!=8,"22-23/2","Hata2")))))))),
IF(#REF!+BM327=2020,
IF(#REF!=1,"20-21/1",
IF(#REF!=2,"20-21/2",
IF(#REF!=3,"21-22/1",
IF(#REF!=4,"21-22/2",
IF(#REF!=5,"22-23/1",
IF(#REF!=6,"22-23/2",
IF(#REF!=7,"23-24/1",
IF(#REF!=8,"23-24/2","Hata3")))))))),
IF(#REF!+BM327=2021,
IF(#REF!=1,"21-22/1",
IF(#REF!=2,"21-22/2",
IF(#REF!=3,"22-23/1",
IF(#REF!=4,"22-23/2",
IF(#REF!=5,"23-24/1",
IF(#REF!=6,"23-24/2",
IF(#REF!=7,"24-25/1",
IF(#REF!=8,"24-25/2","Hata4")))))))),
IF(#REF!+BM327=2022,
IF(#REF!=1,"22-23/1",
IF(#REF!=2,"22-23/2",
IF(#REF!=3,"23-24/1",
IF(#REF!=4,"23-24/2",
IF(#REF!=5,"24-25/1",
IF(#REF!=6,"24-25/2",
IF(#REF!=7,"25-26/1",
IF(#REF!=8,"25-26/2","Hata5")))))))),
IF(#REF!+BM327=2023,
IF(#REF!=1,"23-24/1",
IF(#REF!=2,"23-24/2",
IF(#REF!=3,"24-25/1",
IF(#REF!=4,"24-25/2",
IF(#REF!=5,"25-26/1",
IF(#REF!=6,"25-26/2",
IF(#REF!=7,"26-27/1",
IF(#REF!=8,"26-27/2","Hata6")))))))),
)))))),
IF(BE327="T",
IF(#REF!+BM327=2018,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IF(#REF!+BM327=2019,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IF(#REF!+BM327=2020,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IF(#REF!+BM327=2021,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IF(#REF!+BM327=2022,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IF(#REF!+BM327=2023,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G327" s="3"/>
      <c r="H327" s="3"/>
      <c r="I327" s="1" t="s">
        <v>182</v>
      </c>
      <c r="J327" s="1"/>
      <c r="K327" s="1"/>
      <c r="L327" s="2">
        <v>3557</v>
      </c>
      <c r="M327" s="1"/>
      <c r="N327" s="2">
        <v>4</v>
      </c>
      <c r="O327" s="6">
        <f t="shared" si="229"/>
        <v>4</v>
      </c>
      <c r="P327" s="2">
        <f t="shared" si="230"/>
        <v>4</v>
      </c>
      <c r="Q327" s="2">
        <v>0</v>
      </c>
      <c r="R327" s="2">
        <v>0</v>
      </c>
      <c r="S327" s="2">
        <v>4</v>
      </c>
      <c r="T327" s="1"/>
      <c r="U327" s="1"/>
      <c r="V327" s="1"/>
      <c r="W327" s="1"/>
      <c r="X327" s="3">
        <v>4</v>
      </c>
      <c r="Y327" s="1">
        <f>VLOOKUP(X327,[42]ölçme_sistemleri!I:L,2,FALSE)</f>
        <v>0</v>
      </c>
      <c r="Z327" s="1">
        <f>VLOOKUP(X327,[42]ölçme_sistemleri!I:L,3,FALSE)</f>
        <v>1</v>
      </c>
      <c r="AA327" s="1">
        <f>VLOOKUP(X327,[42]ölçme_sistemleri!I:L,4,FALSE)</f>
        <v>1</v>
      </c>
      <c r="AB327" s="1">
        <f>$O327*[42]ölçme_sistemleri!J$13</f>
        <v>4</v>
      </c>
      <c r="AC327" s="1">
        <f>$O327*[42]ölçme_sistemleri!K$13</f>
        <v>8</v>
      </c>
      <c r="AD327" s="1">
        <f>$O327*[42]ölçme_sistemleri!L$13</f>
        <v>12</v>
      </c>
      <c r="AE327" s="1">
        <f t="shared" ref="AE327:AE335" si="241">Y327*AB327</f>
        <v>0</v>
      </c>
      <c r="AF327" s="1">
        <f t="shared" ref="AF327:AF335" si="242">Z327*AC327</f>
        <v>8</v>
      </c>
      <c r="AG327" s="1">
        <f t="shared" ref="AG327:AG335" si="243">AA327*AD327</f>
        <v>12</v>
      </c>
      <c r="AH327" s="1">
        <f t="shared" ref="AH327:AH335" si="244">SUM(AE327:AG327)</f>
        <v>20</v>
      </c>
      <c r="AI327" s="1">
        <v>11</v>
      </c>
      <c r="AJ327" s="1">
        <f>VLOOKUP(X327,[42]ölçme_sistemleri!I:M,5,FALSE)</f>
        <v>1</v>
      </c>
      <c r="AK327" s="1">
        <f t="shared" ref="AK327:AK335" si="245">SUM(AE327,AF327,AG327)*AI327</f>
        <v>220</v>
      </c>
      <c r="AL327" s="1">
        <f>((Q327+S327)*AI327)</f>
        <v>44</v>
      </c>
      <c r="AM327" s="1">
        <f>VLOOKUP(X327,[42]ölçme_sistemleri!I:N,6,FALSE)</f>
        <v>2</v>
      </c>
      <c r="AN327" s="1">
        <v>2</v>
      </c>
      <c r="AO327" s="1">
        <f t="shared" ref="AO327:AO335" si="246">AM327*AN327</f>
        <v>4</v>
      </c>
      <c r="AP327" s="1">
        <v>11</v>
      </c>
      <c r="AQ327" s="1">
        <f t="shared" si="233"/>
        <v>44</v>
      </c>
      <c r="AR327" s="1">
        <f t="shared" ref="AR327:AR335" si="247">AQ327+AO327+AL327+AE327+AF327+AG327</f>
        <v>112</v>
      </c>
      <c r="AS327" s="1">
        <f t="shared" si="240"/>
        <v>30</v>
      </c>
      <c r="AT327" s="1">
        <f t="shared" ref="AT327:AT335" si="248">ROUND(AR327/AS327,0)</f>
        <v>4</v>
      </c>
      <c r="AU327" s="1">
        <f t="shared" si="234"/>
        <v>0</v>
      </c>
      <c r="AV327" s="1">
        <f t="shared" si="235"/>
        <v>0</v>
      </c>
      <c r="AW327" s="1">
        <f t="shared" si="236"/>
        <v>0</v>
      </c>
      <c r="AX327" s="1">
        <f t="shared" si="237"/>
        <v>6.4</v>
      </c>
      <c r="AY327" s="1">
        <f t="shared" ref="AY327:AY335" si="249">SUM(AV327:AX327)-SUM(AD327:AF327)</f>
        <v>-13.6</v>
      </c>
      <c r="AZ327" s="1">
        <f t="shared" si="238"/>
        <v>0</v>
      </c>
      <c r="BA327" s="1">
        <f t="shared" ref="BA327:BA335" si="250">AZ327-AL327</f>
        <v>-44</v>
      </c>
      <c r="BB327" s="1">
        <f t="shared" ref="BB327:BB335" si="251">IF(BE327="s",
IF(W327=0,0,
IF(W327=1,4*5,
IF(W327=2,4*3,
IF(W327=3,4*4,
IF(W327=4,4*2,
IF(W327=5,4,
IF(W327=6,4/2,
IF(W327=7,4*2,)))))))),
IF(BE327="t",
IF(W327=0,0,
IF(W327=1,4*5,
IF(W327=2,4*3,
IF(W327=3,4*4,
IF(W327=4,4*2,
IF(W327=5,4,
IF(W327=6,4/2,
IF(W327=7,4*2))))))))))</f>
        <v>0</v>
      </c>
      <c r="BC327" s="1">
        <f t="shared" ref="BC327:BC335" si="252">BB327-AO327</f>
        <v>-4</v>
      </c>
      <c r="BD327" s="1">
        <f t="shared" ref="BD327:BD335" si="253">AV327+AW327+AX327+(IF(BK327=1,(AZ327)*2,AZ327))+BB327</f>
        <v>6.4</v>
      </c>
      <c r="BE327" s="1" t="s">
        <v>60</v>
      </c>
      <c r="BF327" s="1">
        <f t="shared" si="239"/>
        <v>44</v>
      </c>
      <c r="BG327" s="1">
        <f t="shared" si="231"/>
        <v>50.4</v>
      </c>
      <c r="BH327" s="1">
        <f t="shared" si="232"/>
        <v>2</v>
      </c>
      <c r="BI327" s="1" t="e">
        <f>IF(BH327-#REF!=0,"DOĞRU","YANLIŞ")</f>
        <v>#REF!</v>
      </c>
      <c r="BJ327" s="1" t="e">
        <f>#REF!-BH327</f>
        <v>#REF!</v>
      </c>
      <c r="BK327" s="1">
        <v>0</v>
      </c>
      <c r="BL327" s="1"/>
      <c r="BM327" s="1">
        <v>0</v>
      </c>
      <c r="BN327" s="1"/>
      <c r="BO327" s="1"/>
      <c r="BP327" s="1"/>
      <c r="BQ327" s="1"/>
      <c r="BR327" s="1"/>
      <c r="BS327" s="1"/>
      <c r="BT327" s="8">
        <f t="shared" si="215"/>
        <v>0</v>
      </c>
      <c r="BU327" s="24"/>
      <c r="BV327" s="10"/>
      <c r="BW327" s="11"/>
      <c r="BX327" s="11"/>
      <c r="BY327" s="11"/>
      <c r="BZ327" s="11"/>
      <c r="CA327" s="11"/>
      <c r="CB327" s="12"/>
      <c r="CC327" s="13"/>
      <c r="CD327" s="14"/>
      <c r="CE327" s="1"/>
      <c r="CF327" s="1"/>
      <c r="CG327" s="1"/>
      <c r="CH327" s="1"/>
      <c r="CI327" s="1"/>
      <c r="CL327" s="11"/>
      <c r="CM327" s="11"/>
      <c r="CN327" s="11"/>
      <c r="CO327" s="11"/>
      <c r="CP327" s="11"/>
      <c r="CQ327" s="49"/>
      <c r="CR327" s="46"/>
      <c r="CS327" s="48"/>
      <c r="CT327" s="48"/>
      <c r="CU327" s="48"/>
      <c r="CV327" s="48"/>
      <c r="CW327" s="49"/>
      <c r="CX327" s="49"/>
      <c r="CY327" s="1"/>
    </row>
    <row r="328" spans="1:103" x14ac:dyDescent="0.25">
      <c r="A328" s="92" t="s">
        <v>180</v>
      </c>
      <c r="B328" s="92" t="s">
        <v>134</v>
      </c>
      <c r="C328" s="1" t="s">
        <v>134</v>
      </c>
      <c r="D328" s="2" t="s">
        <v>63</v>
      </c>
      <c r="E328" s="2" t="s">
        <v>63</v>
      </c>
      <c r="F328" s="3" t="e">
        <f>IF(BE328="S",
IF(#REF!+BM328=2018,
IF(#REF!=1,"18-19/1",
IF(#REF!=2,"18-19/2",
IF(#REF!=3,"19-20/1",
IF(#REF!=4,"19-20/2",
IF(#REF!=5,"20-21/1",
IF(#REF!=6,"20-21/2",
IF(#REF!=7,"21-22/1",
IF(#REF!=8,"21-22/2","Hata1")))))))),
IF(#REF!+BM328=2019,
IF(#REF!=1,"19-20/1",
IF(#REF!=2,"19-20/2",
IF(#REF!=3,"20-21/1",
IF(#REF!=4,"20-21/2",
IF(#REF!=5,"21-22/1",
IF(#REF!=6,"21-22/2",
IF(#REF!=7,"22-23/1",
IF(#REF!=8,"22-23/2","Hata2")))))))),
IF(#REF!+BM328=2020,
IF(#REF!=1,"20-21/1",
IF(#REF!=2,"20-21/2",
IF(#REF!=3,"21-22/1",
IF(#REF!=4,"21-22/2",
IF(#REF!=5,"22-23/1",
IF(#REF!=6,"22-23/2",
IF(#REF!=7,"23-24/1",
IF(#REF!=8,"23-24/2","Hata3")))))))),
IF(#REF!+BM328=2021,
IF(#REF!=1,"21-22/1",
IF(#REF!=2,"21-22/2",
IF(#REF!=3,"22-23/1",
IF(#REF!=4,"22-23/2",
IF(#REF!=5,"23-24/1",
IF(#REF!=6,"23-24/2",
IF(#REF!=7,"24-25/1",
IF(#REF!=8,"24-25/2","Hata4")))))))),
IF(#REF!+BM328=2022,
IF(#REF!=1,"22-23/1",
IF(#REF!=2,"22-23/2",
IF(#REF!=3,"23-24/1",
IF(#REF!=4,"23-24/2",
IF(#REF!=5,"24-25/1",
IF(#REF!=6,"24-25/2",
IF(#REF!=7,"25-26/1",
IF(#REF!=8,"25-26/2","Hata5")))))))),
IF(#REF!+BM328=2023,
IF(#REF!=1,"23-24/1",
IF(#REF!=2,"23-24/2",
IF(#REF!=3,"24-25/1",
IF(#REF!=4,"24-25/2",
IF(#REF!=5,"25-26/1",
IF(#REF!=6,"25-26/2",
IF(#REF!=7,"26-27/1",
IF(#REF!=8,"26-27/2","Hata6")))))))),
)))))),
IF(BE328="T",
IF(#REF!+BM328=2018,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28" s="92" t="s">
        <v>182</v>
      </c>
      <c r="L328" s="2">
        <v>3607</v>
      </c>
      <c r="N328" s="104">
        <v>6</v>
      </c>
      <c r="O328" s="105">
        <f t="shared" ref="O328:O335" si="254">(S328)+(R328/2)+(Q328)</f>
        <v>5</v>
      </c>
      <c r="P328" s="2">
        <f t="shared" ref="P328:P335" si="255">Q328+R328+S328</f>
        <v>6</v>
      </c>
      <c r="Q328" s="2">
        <v>2</v>
      </c>
      <c r="R328" s="2">
        <v>2</v>
      </c>
      <c r="S328" s="2">
        <v>2</v>
      </c>
      <c r="X328" s="106">
        <v>2</v>
      </c>
      <c r="Y328" s="1">
        <f>VLOOKUP(X328,[42]ölçme_sistemleri!I:L,2,FALSE)</f>
        <v>0</v>
      </c>
      <c r="Z328" s="1">
        <f>VLOOKUP(X328,[42]ölçme_sistemleri!I:L,3,FALSE)</f>
        <v>2</v>
      </c>
      <c r="AA328" s="1">
        <f>VLOOKUP(X328,[42]ölçme_sistemleri!I:L,4,FALSE)</f>
        <v>1</v>
      </c>
      <c r="AB328" s="1">
        <f>$O328*[42]ölçme_sistemleri!J$13</f>
        <v>5</v>
      </c>
      <c r="AC328" s="1">
        <f>$O328*[42]ölçme_sistemleri!K$13</f>
        <v>10</v>
      </c>
      <c r="AD328" s="1">
        <f>$O328*[42]ölçme_sistemleri!L$13</f>
        <v>15</v>
      </c>
      <c r="AE328" s="1">
        <f t="shared" si="241"/>
        <v>0</v>
      </c>
      <c r="AF328" s="1">
        <f t="shared" si="242"/>
        <v>20</v>
      </c>
      <c r="AG328" s="1">
        <f t="shared" si="243"/>
        <v>15</v>
      </c>
      <c r="AH328" s="1">
        <f t="shared" si="244"/>
        <v>35</v>
      </c>
      <c r="AI328" s="1">
        <v>11</v>
      </c>
      <c r="AJ328" s="1">
        <f>VLOOKUP(X328,[42]ölçme_sistemleri!I:M,5,FALSE)</f>
        <v>2</v>
      </c>
      <c r="AK328" s="1">
        <f t="shared" si="245"/>
        <v>385</v>
      </c>
      <c r="AL328" s="1">
        <f>AI328*6</f>
        <v>66</v>
      </c>
      <c r="AM328" s="1">
        <f>VLOOKUP(X328,[42]ölçme_sistemleri!I:N,6,FALSE)</f>
        <v>3</v>
      </c>
      <c r="AN328" s="1">
        <v>2</v>
      </c>
      <c r="AO328" s="1">
        <f t="shared" si="246"/>
        <v>6</v>
      </c>
      <c r="AP328" s="1">
        <v>11</v>
      </c>
      <c r="AQ328" s="1">
        <f t="shared" si="233"/>
        <v>66</v>
      </c>
      <c r="AR328" s="1">
        <f t="shared" si="247"/>
        <v>173</v>
      </c>
      <c r="AS328" s="1">
        <f t="shared" si="240"/>
        <v>30</v>
      </c>
      <c r="AT328" s="1">
        <f t="shared" si="248"/>
        <v>6</v>
      </c>
      <c r="AU328" s="1">
        <f t="shared" si="234"/>
        <v>0</v>
      </c>
      <c r="AV328" s="1">
        <f t="shared" si="235"/>
        <v>0</v>
      </c>
      <c r="AW328" s="1">
        <f t="shared" si="236"/>
        <v>0</v>
      </c>
      <c r="AX328" s="1">
        <f t="shared" si="237"/>
        <v>8</v>
      </c>
      <c r="AY328" s="1">
        <f t="shared" si="249"/>
        <v>-27</v>
      </c>
      <c r="AZ328" s="1">
        <f t="shared" si="238"/>
        <v>0</v>
      </c>
      <c r="BA328" s="1">
        <f t="shared" si="250"/>
        <v>-66</v>
      </c>
      <c r="BB328" s="1">
        <f t="shared" si="251"/>
        <v>0</v>
      </c>
      <c r="BC328" s="1">
        <f t="shared" si="252"/>
        <v>-6</v>
      </c>
      <c r="BD328" s="1">
        <f t="shared" si="253"/>
        <v>8</v>
      </c>
      <c r="BE328" s="1" t="s">
        <v>60</v>
      </c>
      <c r="BF328" s="1">
        <f t="shared" si="239"/>
        <v>55</v>
      </c>
      <c r="BG328" s="1">
        <f t="shared" ref="BG328:BG335" si="256">IF(BL328="Z",(BF328+BD328)*1.15,(BF328+BD328))</f>
        <v>63</v>
      </c>
      <c r="BH328" s="1">
        <f t="shared" ref="BH328:BH335" si="257">IF(BE328="s",ROUND(BG328/30,0),IF(BE328="T",ROUND(BG328/25,0),"HATA"))</f>
        <v>3</v>
      </c>
      <c r="BI328" s="1" t="e">
        <f>IF(BH328-#REF!=0,"DOĞRU","YANLIŞ")</f>
        <v>#REF!</v>
      </c>
      <c r="BJ328" s="1" t="e">
        <f>#REF!-BH328</f>
        <v>#REF!</v>
      </c>
      <c r="BK328" s="1">
        <v>1</v>
      </c>
      <c r="BM328" s="1">
        <v>0</v>
      </c>
      <c r="BT328" s="8">
        <f t="shared" si="215"/>
        <v>22</v>
      </c>
      <c r="BU328" s="25"/>
      <c r="BV328" s="18">
        <v>22</v>
      </c>
      <c r="BW328" s="19"/>
      <c r="BX328" s="19"/>
      <c r="BY328" s="19"/>
      <c r="BZ328" s="19" t="s">
        <v>442</v>
      </c>
      <c r="CA328" s="19"/>
      <c r="CB328" s="20"/>
      <c r="CC328" s="21" t="s">
        <v>443</v>
      </c>
      <c r="CD328" s="23" t="s">
        <v>444</v>
      </c>
      <c r="CL328" s="108"/>
      <c r="CM328" s="108"/>
      <c r="CN328" s="108"/>
      <c r="CO328" s="108"/>
      <c r="CP328" s="108" t="s">
        <v>442</v>
      </c>
      <c r="CQ328" s="84">
        <v>44281</v>
      </c>
      <c r="CR328" s="83" t="s">
        <v>501</v>
      </c>
      <c r="CS328" s="84">
        <v>44295</v>
      </c>
      <c r="CT328" s="91" t="s">
        <v>501</v>
      </c>
      <c r="CU328" s="48"/>
      <c r="CV328" s="48"/>
      <c r="CW328" s="49"/>
      <c r="CX328" s="49"/>
    </row>
    <row r="329" spans="1:103" hidden="1" x14ac:dyDescent="0.25">
      <c r="A329" s="1" t="s">
        <v>307</v>
      </c>
      <c r="B329" s="1" t="s">
        <v>308</v>
      </c>
      <c r="C329" s="1" t="s">
        <v>308</v>
      </c>
      <c r="D329" s="2" t="s">
        <v>63</v>
      </c>
      <c r="E329" s="2" t="s">
        <v>63</v>
      </c>
      <c r="F329" s="3" t="e">
        <f>IF(BE329="S",
IF(#REF!+BM329=2018,
IF(#REF!=1,"18-19/1",
IF(#REF!=2,"18-19/2",
IF(#REF!=3,"19-20/1",
IF(#REF!=4,"19-20/2",
IF(#REF!=5,"20-21/1",
IF(#REF!=6,"20-21/2",
IF(#REF!=7,"21-22/1",
IF(#REF!=8,"21-22/2","Hata1")))))))),
IF(#REF!+BM329=2019,
IF(#REF!=1,"19-20/1",
IF(#REF!=2,"19-20/2",
IF(#REF!=3,"20-21/1",
IF(#REF!=4,"20-21/2",
IF(#REF!=5,"21-22/1",
IF(#REF!=6,"21-22/2",
IF(#REF!=7,"22-23/1",
IF(#REF!=8,"22-23/2","Hata2")))))))),
IF(#REF!+BM329=2020,
IF(#REF!=1,"20-21/1",
IF(#REF!=2,"20-21/2",
IF(#REF!=3,"21-22/1",
IF(#REF!=4,"21-22/2",
IF(#REF!=5,"22-23/1",
IF(#REF!=6,"22-23/2",
IF(#REF!=7,"23-24/1",
IF(#REF!=8,"23-24/2","Hata3")))))))),
IF(#REF!+BM329=2021,
IF(#REF!=1,"21-22/1",
IF(#REF!=2,"21-22/2",
IF(#REF!=3,"22-23/1",
IF(#REF!=4,"22-23/2",
IF(#REF!=5,"23-24/1",
IF(#REF!=6,"23-24/2",
IF(#REF!=7,"24-25/1",
IF(#REF!=8,"24-25/2","Hata4")))))))),
IF(#REF!+BM329=2022,
IF(#REF!=1,"22-23/1",
IF(#REF!=2,"22-23/2",
IF(#REF!=3,"23-24/1",
IF(#REF!=4,"23-24/2",
IF(#REF!=5,"24-25/1",
IF(#REF!=6,"24-25/2",
IF(#REF!=7,"25-26/1",
IF(#REF!=8,"25-26/2","Hata5")))))))),
IF(#REF!+BM329=2023,
IF(#REF!=1,"23-24/1",
IF(#REF!=2,"23-24/2",
IF(#REF!=3,"24-25/1",
IF(#REF!=4,"24-25/2",
IF(#REF!=5,"25-26/1",
IF(#REF!=6,"25-26/2",
IF(#REF!=7,"26-27/1",
IF(#REF!=8,"26-27/2","Hata6")))))))),
)))))),
IF(BE329="T",
IF(#REF!+BM329=2018,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IF(#REF!+BM329=2019,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IF(#REF!+BM329=2020,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IF(#REF!+BM329=2021,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IF(#REF!+BM329=2022,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IF(#REF!+BM329=2023,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29" s="1" t="s">
        <v>182</v>
      </c>
      <c r="L329" s="2">
        <v>2581</v>
      </c>
      <c r="N329" s="2">
        <v>4</v>
      </c>
      <c r="O329" s="6">
        <f t="shared" si="254"/>
        <v>4</v>
      </c>
      <c r="P329" s="2">
        <f t="shared" si="255"/>
        <v>4</v>
      </c>
      <c r="Q329" s="2">
        <v>4</v>
      </c>
      <c r="R329" s="2">
        <v>0</v>
      </c>
      <c r="S329" s="2">
        <v>0</v>
      </c>
      <c r="X329" s="3">
        <v>4</v>
      </c>
      <c r="Y329" s="1">
        <f>VLOOKUP(X329,[42]ölçme_sistemleri!I:L,2,FALSE)</f>
        <v>0</v>
      </c>
      <c r="Z329" s="1">
        <f>VLOOKUP(X329,[42]ölçme_sistemleri!I:L,3,FALSE)</f>
        <v>1</v>
      </c>
      <c r="AA329" s="1">
        <f>VLOOKUP(X329,[42]ölçme_sistemleri!I:L,4,FALSE)</f>
        <v>1</v>
      </c>
      <c r="AB329" s="1">
        <f>$O329*[42]ölçme_sistemleri!J$13</f>
        <v>4</v>
      </c>
      <c r="AC329" s="1">
        <f>$O329*[42]ölçme_sistemleri!K$13</f>
        <v>8</v>
      </c>
      <c r="AD329" s="1">
        <f>$O329*[42]ölçme_sistemleri!L$13</f>
        <v>12</v>
      </c>
      <c r="AE329" s="1">
        <f t="shared" si="241"/>
        <v>0</v>
      </c>
      <c r="AF329" s="1">
        <f t="shared" si="242"/>
        <v>8</v>
      </c>
      <c r="AG329" s="1">
        <f t="shared" si="243"/>
        <v>12</v>
      </c>
      <c r="AH329" s="1">
        <f t="shared" si="244"/>
        <v>20</v>
      </c>
      <c r="AI329" s="1">
        <v>11</v>
      </c>
      <c r="AJ329" s="1">
        <f>VLOOKUP(X329,[42]ölçme_sistemleri!I:M,5,FALSE)</f>
        <v>1</v>
      </c>
      <c r="AK329" s="1">
        <f t="shared" si="245"/>
        <v>220</v>
      </c>
      <c r="AL329" s="1">
        <f>((Q329+S329)*AI329)</f>
        <v>44</v>
      </c>
      <c r="AM329" s="1">
        <f>VLOOKUP(X329,[42]ölçme_sistemleri!I:N,6,FALSE)</f>
        <v>2</v>
      </c>
      <c r="AN329" s="1">
        <v>2</v>
      </c>
      <c r="AO329" s="1">
        <f t="shared" si="246"/>
        <v>4</v>
      </c>
      <c r="AP329" s="1">
        <v>11</v>
      </c>
      <c r="AQ329" s="1">
        <f t="shared" si="233"/>
        <v>44</v>
      </c>
      <c r="AR329" s="1">
        <f t="shared" si="247"/>
        <v>112</v>
      </c>
      <c r="AS329" s="1">
        <f t="shared" si="240"/>
        <v>30</v>
      </c>
      <c r="AT329" s="1">
        <f t="shared" si="248"/>
        <v>4</v>
      </c>
      <c r="AU329" s="1">
        <f t="shared" si="234"/>
        <v>0</v>
      </c>
      <c r="AV329" s="1">
        <f t="shared" si="235"/>
        <v>0</v>
      </c>
      <c r="AW329" s="1">
        <f t="shared" si="236"/>
        <v>0</v>
      </c>
      <c r="AX329" s="1">
        <f t="shared" si="237"/>
        <v>6.4</v>
      </c>
      <c r="AY329" s="1">
        <f t="shared" si="249"/>
        <v>-13.6</v>
      </c>
      <c r="AZ329" s="1">
        <f t="shared" si="238"/>
        <v>0</v>
      </c>
      <c r="BA329" s="1">
        <f t="shared" si="250"/>
        <v>-44</v>
      </c>
      <c r="BB329" s="1">
        <f t="shared" si="251"/>
        <v>0</v>
      </c>
      <c r="BC329" s="1">
        <f t="shared" si="252"/>
        <v>-4</v>
      </c>
      <c r="BD329" s="1">
        <f t="shared" si="253"/>
        <v>6.4</v>
      </c>
      <c r="BE329" s="1" t="s">
        <v>60</v>
      </c>
      <c r="BF329" s="1">
        <f t="shared" si="239"/>
        <v>44</v>
      </c>
      <c r="BG329" s="1">
        <f t="shared" si="256"/>
        <v>50.4</v>
      </c>
      <c r="BH329" s="1">
        <f t="shared" si="257"/>
        <v>2</v>
      </c>
      <c r="BI329" s="1" t="e">
        <f>IF(BH329-#REF!=0,"DOĞRU","YANLIŞ")</f>
        <v>#REF!</v>
      </c>
      <c r="BJ329" s="1" t="e">
        <f>#REF!-BH329</f>
        <v>#REF!</v>
      </c>
      <c r="BK329" s="1">
        <v>0</v>
      </c>
      <c r="BM329" s="1">
        <v>0</v>
      </c>
      <c r="BT329" s="8">
        <f t="shared" si="215"/>
        <v>0</v>
      </c>
      <c r="BU329" s="24"/>
      <c r="BV329" s="10"/>
      <c r="BW329" s="11"/>
      <c r="BX329" s="11"/>
      <c r="BY329" s="11"/>
      <c r="BZ329" s="11"/>
      <c r="CA329" s="11"/>
      <c r="CB329" s="12"/>
      <c r="CC329" s="13"/>
      <c r="CD329" s="14"/>
      <c r="CL329" s="11"/>
      <c r="CM329" s="11"/>
      <c r="CN329" s="11"/>
      <c r="CO329" s="11"/>
      <c r="CP329" s="11"/>
      <c r="CQ329" s="49"/>
      <c r="CR329" s="46"/>
      <c r="CS329" s="49"/>
      <c r="CT329" s="48"/>
      <c r="CU329" s="48"/>
      <c r="CV329" s="48"/>
      <c r="CW329" s="49"/>
      <c r="CX329" s="49"/>
    </row>
    <row r="330" spans="1:103" hidden="1" x14ac:dyDescent="0.25">
      <c r="A330" s="1" t="s">
        <v>335</v>
      </c>
      <c r="B330" s="1" t="s">
        <v>128</v>
      </c>
      <c r="C330" s="1" t="s">
        <v>128</v>
      </c>
      <c r="D330" s="2" t="s">
        <v>63</v>
      </c>
      <c r="E330" s="2" t="s">
        <v>63</v>
      </c>
      <c r="F330" s="3" t="e">
        <f>IF(BE330="S",
IF(#REF!+BM330=2018,
IF(#REF!=1,"18-19/1",
IF(#REF!=2,"18-19/2",
IF(#REF!=3,"19-20/1",
IF(#REF!=4,"19-20/2",
IF(#REF!=5,"20-21/1",
IF(#REF!=6,"20-21/2",
IF(#REF!=7,"21-22/1",
IF(#REF!=8,"21-22/2","Hata1")))))))),
IF(#REF!+BM330=2019,
IF(#REF!=1,"19-20/1",
IF(#REF!=2,"19-20/2",
IF(#REF!=3,"20-21/1",
IF(#REF!=4,"20-21/2",
IF(#REF!=5,"21-22/1",
IF(#REF!=6,"21-22/2",
IF(#REF!=7,"22-23/1",
IF(#REF!=8,"22-23/2","Hata2")))))))),
IF(#REF!+BM330=2020,
IF(#REF!=1,"20-21/1",
IF(#REF!=2,"20-21/2",
IF(#REF!=3,"21-22/1",
IF(#REF!=4,"21-22/2",
IF(#REF!=5,"22-23/1",
IF(#REF!=6,"22-23/2",
IF(#REF!=7,"23-24/1",
IF(#REF!=8,"23-24/2","Hata3")))))))),
IF(#REF!+BM330=2021,
IF(#REF!=1,"21-22/1",
IF(#REF!=2,"21-22/2",
IF(#REF!=3,"22-23/1",
IF(#REF!=4,"22-23/2",
IF(#REF!=5,"23-24/1",
IF(#REF!=6,"23-24/2",
IF(#REF!=7,"24-25/1",
IF(#REF!=8,"24-25/2","Hata4")))))))),
IF(#REF!+BM330=2022,
IF(#REF!=1,"22-23/1",
IF(#REF!=2,"22-23/2",
IF(#REF!=3,"23-24/1",
IF(#REF!=4,"23-24/2",
IF(#REF!=5,"24-25/1",
IF(#REF!=6,"24-25/2",
IF(#REF!=7,"25-26/1",
IF(#REF!=8,"25-26/2","Hata5")))))))),
IF(#REF!+BM330=2023,
IF(#REF!=1,"23-24/1",
IF(#REF!=2,"23-24/2",
IF(#REF!=3,"24-25/1",
IF(#REF!=4,"24-25/2",
IF(#REF!=5,"25-26/1",
IF(#REF!=6,"25-26/2",
IF(#REF!=7,"26-27/1",
IF(#REF!=8,"26-27/2","Hata6")))))))),
)))))),
IF(BE330="T",
IF(#REF!+BM330=2018,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IF(#REF!+BM330=2019,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IF(#REF!+BM330=2020,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IF(#REF!+BM330=2021,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IF(#REF!+BM330=2022,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IF(#REF!+BM330=2023,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0" s="1" t="s">
        <v>182</v>
      </c>
      <c r="L330" s="2">
        <v>3589</v>
      </c>
      <c r="N330" s="2">
        <v>3</v>
      </c>
      <c r="O330" s="6">
        <f t="shared" si="254"/>
        <v>2</v>
      </c>
      <c r="P330" s="2">
        <f t="shared" si="255"/>
        <v>2</v>
      </c>
      <c r="Q330" s="2">
        <v>0</v>
      </c>
      <c r="R330" s="2">
        <v>0</v>
      </c>
      <c r="S330" s="2">
        <v>2</v>
      </c>
      <c r="X330" s="3">
        <v>4</v>
      </c>
      <c r="Y330" s="1">
        <f>VLOOKUP(X330,[42]ölçme_sistemleri!I:L,2,FALSE)</f>
        <v>0</v>
      </c>
      <c r="Z330" s="1">
        <f>VLOOKUP(X330,[42]ölçme_sistemleri!I:L,3,FALSE)</f>
        <v>1</v>
      </c>
      <c r="AA330" s="1">
        <f>VLOOKUP(X330,[42]ölçme_sistemleri!I:L,4,FALSE)</f>
        <v>1</v>
      </c>
      <c r="AB330" s="1">
        <f>$O330*[42]ölçme_sistemleri!J$13</f>
        <v>2</v>
      </c>
      <c r="AC330" s="1">
        <f>$O330*[42]ölçme_sistemleri!K$13</f>
        <v>4</v>
      </c>
      <c r="AD330" s="1">
        <f>$O330*[42]ölçme_sistemleri!L$13</f>
        <v>6</v>
      </c>
      <c r="AE330" s="1">
        <f t="shared" si="241"/>
        <v>0</v>
      </c>
      <c r="AF330" s="1">
        <f t="shared" si="242"/>
        <v>4</v>
      </c>
      <c r="AG330" s="1">
        <f t="shared" si="243"/>
        <v>6</v>
      </c>
      <c r="AH330" s="1">
        <f t="shared" si="244"/>
        <v>10</v>
      </c>
      <c r="AI330" s="1">
        <v>11</v>
      </c>
      <c r="AJ330" s="1">
        <f>VLOOKUP(X330,[42]ölçme_sistemleri!I:M,5,FALSE)</f>
        <v>1</v>
      </c>
      <c r="AK330" s="1">
        <f t="shared" si="245"/>
        <v>110</v>
      </c>
      <c r="AL330" s="1">
        <f>AI330*4</f>
        <v>44</v>
      </c>
      <c r="AM330" s="1">
        <f>VLOOKUP(X330,[42]ölçme_sistemleri!I:N,6,FALSE)</f>
        <v>2</v>
      </c>
      <c r="AN330" s="1">
        <v>2</v>
      </c>
      <c r="AO330" s="1">
        <f t="shared" si="246"/>
        <v>4</v>
      </c>
      <c r="AP330" s="1">
        <v>11</v>
      </c>
      <c r="AQ330" s="1">
        <f t="shared" ref="AQ330:AQ335" si="258">AP330*P330</f>
        <v>22</v>
      </c>
      <c r="AR330" s="1">
        <f t="shared" si="247"/>
        <v>80</v>
      </c>
      <c r="AS330" s="1">
        <f t="shared" si="240"/>
        <v>30</v>
      </c>
      <c r="AT330" s="1">
        <f t="shared" si="248"/>
        <v>3</v>
      </c>
      <c r="AU330" s="1">
        <f t="shared" ref="AU330:AU335" si="259">ROUND(AT330-N330,0)</f>
        <v>0</v>
      </c>
      <c r="AV330" s="1">
        <f t="shared" ref="AV330:AV335" si="260">IF(BE330="s",IF(W330=0,0,
IF(W330=1,N330*4*4,
IF(W330=2,0,
IF(W330=3,N330*4*2,
IF(W330=4,0,
IF(W330=5,0,
IF(W330=6,0,
IF(W330=7,0)))))))),
IF(BE330="t",
IF(W330=0,0,
IF(W330=1,N330*4*4*0.8,
IF(W330=2,0,
IF(W330=3,N330*4*2*0.8,
IF(W330=4,0,
IF(W330=5,0,
IF(W330=6,0,
IF(W330=7,0))))))))))</f>
        <v>0</v>
      </c>
      <c r="AW330" s="1">
        <f t="shared" ref="AW330:AW335" si="261">IF(BE330="s",
IF(W330=0,0,
IF(W330=1,0,
IF(W330=2,N330*4*2,
IF(W330=3,N330*4,
IF(W330=4,N330*4,
IF(W330=5,0,
IF(W330=6,0,
IF(W330=7,N330*4)))))))),
IF(BE330="t",
IF(W330=0,0,
IF(W330=1,0,
IF(W330=2,N330*4*2*0.8,
IF(W330=3,N330*4*0.8,
IF(W330=4,N330*4*0.8,
IF(W330=5,0,
IF(W330=6,0,
IF(W330=7,N330*4))))))))))</f>
        <v>0</v>
      </c>
      <c r="AX330" s="1">
        <f t="shared" ref="AX330:AX335" si="262">IF(BE330="s",
IF(W330=0,0,
IF(W330=1,N330*2,
IF(W330=2,N330*2,
IF(W330=3,N330*2,
IF(W330=4,N330*2,
IF(W330=5,N330*2,
IF(W330=6,N330*2,
IF(W330=7,N330*2)))))))),
IF(BE330="t",
IF(W330=0,O330*2*0.8,
IF(W330=1,N330*2*0.8,
IF(W330=2,N330*2*0.8,
IF(W330=3,N330*2*0.8,
IF(W330=4,N330*2*0.8,
IF(W330=5,N330*2*0.8,
IF(W330=6,N330*1*0.8,
IF(W330=7,N330*2))))))))))</f>
        <v>3.2</v>
      </c>
      <c r="AY330" s="1">
        <f t="shared" si="249"/>
        <v>-6.8</v>
      </c>
      <c r="AZ330" s="1">
        <f t="shared" ref="AZ330:AZ335" si="263">IF(BE330="s",
IF(W330=0,0,
IF(W330=1,(14-2)*(P330+R330)/4*4,
IF(W330=2,(14-2)*(P330+R330)/4*2,
IF(W330=3,(14-2)*(P330+R330)/4*3,
IF(W330=4,(14-2)*(P330+R330)/4,
IF(W330=5,(14-2)*N330/4,
IF(W330=6,0,
IF(W330=7,(14)*R330)))))))),
IF(BE330="t",
IF(W330=0,0,
IF(W330=1,(11-2)*(P330+R330)/4*4,
IF(W330=2,(11-2)*(P330+R330)/4*2,
IF(W330=3,(11-2)*(P330+R330)/4*3,
IF(W330=4,(11-2)*(P330+R330)/4,
IF(W330=5,(11-2)*N330/4,
IF(W330=6,0,
IF(W330=7,(11)*N330))))))))))</f>
        <v>0</v>
      </c>
      <c r="BA330" s="1">
        <f t="shared" si="250"/>
        <v>-44</v>
      </c>
      <c r="BB330" s="1">
        <f t="shared" si="251"/>
        <v>0</v>
      </c>
      <c r="BC330" s="1">
        <f t="shared" si="252"/>
        <v>-4</v>
      </c>
      <c r="BD330" s="1">
        <f t="shared" si="253"/>
        <v>3.2</v>
      </c>
      <c r="BE330" s="1" t="s">
        <v>60</v>
      </c>
      <c r="BF330" s="1">
        <f t="shared" si="239"/>
        <v>22</v>
      </c>
      <c r="BG330" s="1">
        <f t="shared" si="256"/>
        <v>25.2</v>
      </c>
      <c r="BH330" s="1">
        <f t="shared" si="257"/>
        <v>1</v>
      </c>
      <c r="BI330" s="1" t="e">
        <f>IF(BH330-#REF!=0,"DOĞRU","YANLIŞ")</f>
        <v>#REF!</v>
      </c>
      <c r="BJ330" s="1" t="e">
        <f>#REF!-BH330</f>
        <v>#REF!</v>
      </c>
      <c r="BK330" s="1">
        <v>0</v>
      </c>
      <c r="BM330" s="1">
        <v>0</v>
      </c>
      <c r="BT330" s="8">
        <f t="shared" si="215"/>
        <v>0</v>
      </c>
      <c r="BU330" s="24"/>
      <c r="BV330" s="10"/>
      <c r="BW330" s="11"/>
      <c r="BX330" s="11"/>
      <c r="BY330" s="11"/>
      <c r="BZ330" s="11"/>
      <c r="CA330" s="11"/>
      <c r="CB330" s="12"/>
      <c r="CC330" s="13"/>
      <c r="CD330" s="14"/>
      <c r="CL330" s="11"/>
      <c r="CM330" s="11"/>
      <c r="CN330" s="11"/>
      <c r="CO330" s="11"/>
      <c r="CP330" s="11"/>
      <c r="CQ330" s="54"/>
      <c r="CR330" s="55"/>
      <c r="CS330" s="54"/>
      <c r="CT330" s="55"/>
      <c r="CU330" s="48"/>
      <c r="CV330" s="48"/>
      <c r="CW330" s="49"/>
      <c r="CX330" s="49"/>
    </row>
    <row r="331" spans="1:103" hidden="1" x14ac:dyDescent="0.25">
      <c r="A331" s="1" t="s">
        <v>334</v>
      </c>
      <c r="B331" s="1" t="s">
        <v>130</v>
      </c>
      <c r="C331" s="1" t="s">
        <v>130</v>
      </c>
      <c r="D331" s="2" t="s">
        <v>63</v>
      </c>
      <c r="E331" s="2" t="s">
        <v>63</v>
      </c>
      <c r="F331" s="3" t="e">
        <f>IF(BE331="S",
IF(#REF!+BM331=2018,
IF(#REF!=1,"18-19/1",
IF(#REF!=2,"18-19/2",
IF(#REF!=3,"19-20/1",
IF(#REF!=4,"19-20/2",
IF(#REF!=5,"20-21/1",
IF(#REF!=6,"20-21/2",
IF(#REF!=7,"21-22/1",
IF(#REF!=8,"21-22/2","Hata1")))))))),
IF(#REF!+BM331=2019,
IF(#REF!=1,"19-20/1",
IF(#REF!=2,"19-20/2",
IF(#REF!=3,"20-21/1",
IF(#REF!=4,"20-21/2",
IF(#REF!=5,"21-22/1",
IF(#REF!=6,"21-22/2",
IF(#REF!=7,"22-23/1",
IF(#REF!=8,"22-23/2","Hata2")))))))),
IF(#REF!+BM331=2020,
IF(#REF!=1,"20-21/1",
IF(#REF!=2,"20-21/2",
IF(#REF!=3,"21-22/1",
IF(#REF!=4,"21-22/2",
IF(#REF!=5,"22-23/1",
IF(#REF!=6,"22-23/2",
IF(#REF!=7,"23-24/1",
IF(#REF!=8,"23-24/2","Hata3")))))))),
IF(#REF!+BM331=2021,
IF(#REF!=1,"21-22/1",
IF(#REF!=2,"21-22/2",
IF(#REF!=3,"22-23/1",
IF(#REF!=4,"22-23/2",
IF(#REF!=5,"23-24/1",
IF(#REF!=6,"23-24/2",
IF(#REF!=7,"24-25/1",
IF(#REF!=8,"24-25/2","Hata4")))))))),
IF(#REF!+BM331=2022,
IF(#REF!=1,"22-23/1",
IF(#REF!=2,"22-23/2",
IF(#REF!=3,"23-24/1",
IF(#REF!=4,"23-24/2",
IF(#REF!=5,"24-25/1",
IF(#REF!=6,"24-25/2",
IF(#REF!=7,"25-26/1",
IF(#REF!=8,"25-26/2","Hata5")))))))),
IF(#REF!+BM331=2023,
IF(#REF!=1,"23-24/1",
IF(#REF!=2,"23-24/2",
IF(#REF!=3,"24-25/1",
IF(#REF!=4,"24-25/2",
IF(#REF!=5,"25-26/1",
IF(#REF!=6,"25-26/2",
IF(#REF!=7,"26-27/1",
IF(#REF!=8,"26-27/2","Hata6")))))))),
)))))),
IF(BE331="T",
IF(#REF!+BM331=2018,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IF(#REF!+BM331=2019,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IF(#REF!+BM331=2020,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IF(#REF!+BM331=2021,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IF(#REF!+BM331=2022,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IF(#REF!+BM331=2023,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1" s="1" t="s">
        <v>182</v>
      </c>
      <c r="L331" s="2">
        <v>3584</v>
      </c>
      <c r="N331" s="2">
        <v>4</v>
      </c>
      <c r="O331" s="6">
        <f t="shared" si="254"/>
        <v>2</v>
      </c>
      <c r="P331" s="2">
        <f t="shared" si="255"/>
        <v>2</v>
      </c>
      <c r="Q331" s="2">
        <v>0</v>
      </c>
      <c r="R331" s="2">
        <v>0</v>
      </c>
      <c r="S331" s="2">
        <v>2</v>
      </c>
      <c r="X331" s="3">
        <v>4</v>
      </c>
      <c r="Y331" s="1">
        <f>VLOOKUP(X331,[42]ölçme_sistemleri!I:L,2,FALSE)</f>
        <v>0</v>
      </c>
      <c r="Z331" s="1">
        <f>VLOOKUP(X331,[42]ölçme_sistemleri!I:L,3,FALSE)</f>
        <v>1</v>
      </c>
      <c r="AA331" s="1">
        <f>VLOOKUP(X331,[42]ölçme_sistemleri!I:L,4,FALSE)</f>
        <v>1</v>
      </c>
      <c r="AB331" s="1">
        <f>$O331*[42]ölçme_sistemleri!J$13</f>
        <v>2</v>
      </c>
      <c r="AC331" s="1">
        <f>$O331*[42]ölçme_sistemleri!K$13</f>
        <v>4</v>
      </c>
      <c r="AD331" s="1">
        <f>$O331*[42]ölçme_sistemleri!L$13</f>
        <v>6</v>
      </c>
      <c r="AE331" s="1">
        <f t="shared" si="241"/>
        <v>0</v>
      </c>
      <c r="AF331" s="1">
        <f t="shared" si="242"/>
        <v>4</v>
      </c>
      <c r="AG331" s="1">
        <f t="shared" si="243"/>
        <v>6</v>
      </c>
      <c r="AH331" s="1">
        <f t="shared" si="244"/>
        <v>10</v>
      </c>
      <c r="AI331" s="1">
        <v>11</v>
      </c>
      <c r="AJ331" s="1">
        <f>VLOOKUP(X331,[42]ölçme_sistemleri!I:M,5,FALSE)</f>
        <v>1</v>
      </c>
      <c r="AK331" s="1">
        <f t="shared" si="245"/>
        <v>110</v>
      </c>
      <c r="AL331" s="1">
        <f>AI331*7</f>
        <v>77</v>
      </c>
      <c r="AM331" s="1">
        <f>VLOOKUP(X331,[42]ölçme_sistemleri!I:N,6,FALSE)</f>
        <v>2</v>
      </c>
      <c r="AN331" s="1">
        <v>2</v>
      </c>
      <c r="AO331" s="1">
        <f t="shared" si="246"/>
        <v>4</v>
      </c>
      <c r="AP331" s="1">
        <v>11</v>
      </c>
      <c r="AQ331" s="1">
        <f t="shared" si="258"/>
        <v>22</v>
      </c>
      <c r="AR331" s="1">
        <f t="shared" si="247"/>
        <v>113</v>
      </c>
      <c r="AS331" s="1">
        <f t="shared" si="240"/>
        <v>30</v>
      </c>
      <c r="AT331" s="1">
        <f t="shared" si="248"/>
        <v>4</v>
      </c>
      <c r="AU331" s="1">
        <f t="shared" si="259"/>
        <v>0</v>
      </c>
      <c r="AV331" s="1">
        <f t="shared" si="260"/>
        <v>0</v>
      </c>
      <c r="AW331" s="1">
        <f t="shared" si="261"/>
        <v>0</v>
      </c>
      <c r="AX331" s="1">
        <f t="shared" si="262"/>
        <v>3.2</v>
      </c>
      <c r="AY331" s="1">
        <f t="shared" si="249"/>
        <v>-6.8</v>
      </c>
      <c r="AZ331" s="1">
        <f t="shared" si="263"/>
        <v>0</v>
      </c>
      <c r="BA331" s="1">
        <f t="shared" si="250"/>
        <v>-77</v>
      </c>
      <c r="BB331" s="1">
        <f t="shared" si="251"/>
        <v>0</v>
      </c>
      <c r="BC331" s="1">
        <f t="shared" si="252"/>
        <v>-4</v>
      </c>
      <c r="BD331" s="1">
        <f t="shared" si="253"/>
        <v>3.2</v>
      </c>
      <c r="BE331" s="1" t="s">
        <v>60</v>
      </c>
      <c r="BF331" s="1">
        <f t="shared" ref="BF331:BF335" si="264">IF(BL331="A",0,IF(BE331="s",14*O331,IF(BE331="T",11*O331,"HATA")))</f>
        <v>22</v>
      </c>
      <c r="BG331" s="1">
        <f t="shared" si="256"/>
        <v>25.2</v>
      </c>
      <c r="BH331" s="1">
        <f t="shared" si="257"/>
        <v>1</v>
      </c>
      <c r="BI331" s="1" t="e">
        <f>IF(BH331-#REF!=0,"DOĞRU","YANLIŞ")</f>
        <v>#REF!</v>
      </c>
      <c r="BJ331" s="1" t="e">
        <f>#REF!-BH331</f>
        <v>#REF!</v>
      </c>
      <c r="BK331" s="1">
        <v>0</v>
      </c>
      <c r="BM331" s="1">
        <v>0</v>
      </c>
      <c r="BT331" s="8">
        <f t="shared" si="215"/>
        <v>0</v>
      </c>
      <c r="BU331" s="24"/>
      <c r="BV331" s="10"/>
      <c r="BW331" s="11"/>
      <c r="BX331" s="11"/>
      <c r="BY331" s="11"/>
      <c r="BZ331" s="11"/>
      <c r="CA331" s="11"/>
      <c r="CB331" s="12"/>
      <c r="CC331" s="13"/>
      <c r="CD331" s="14"/>
      <c r="CL331" s="11"/>
      <c r="CM331" s="11"/>
      <c r="CN331" s="11"/>
      <c r="CO331" s="11"/>
      <c r="CP331" s="11"/>
      <c r="CQ331" s="49"/>
      <c r="CR331" s="46"/>
      <c r="CS331" s="48"/>
      <c r="CT331" s="48"/>
      <c r="CU331" s="48"/>
      <c r="CV331" s="48"/>
      <c r="CW331" s="49"/>
      <c r="CX331" s="49"/>
    </row>
    <row r="332" spans="1:103" hidden="1" x14ac:dyDescent="0.25">
      <c r="A332" s="1" t="s">
        <v>370</v>
      </c>
      <c r="B332" s="1" t="s">
        <v>371</v>
      </c>
      <c r="C332" s="1" t="s">
        <v>371</v>
      </c>
      <c r="D332" s="2" t="s">
        <v>63</v>
      </c>
      <c r="E332" s="2" t="s">
        <v>63</v>
      </c>
      <c r="F332" s="3" t="e">
        <f>IF(BE332="S",
IF(#REF!+BM332=2018,
IF(#REF!=1,"18-19/1",
IF(#REF!=2,"18-19/2",
IF(#REF!=3,"19-20/1",
IF(#REF!=4,"19-20/2",
IF(#REF!=5,"20-21/1",
IF(#REF!=6,"20-21/2",
IF(#REF!=7,"21-22/1",
IF(#REF!=8,"21-22/2","Hata1")))))))),
IF(#REF!+BM332=2019,
IF(#REF!=1,"19-20/1",
IF(#REF!=2,"19-20/2",
IF(#REF!=3,"20-21/1",
IF(#REF!=4,"20-21/2",
IF(#REF!=5,"21-22/1",
IF(#REF!=6,"21-22/2",
IF(#REF!=7,"22-23/1",
IF(#REF!=8,"22-23/2","Hata2")))))))),
IF(#REF!+BM332=2020,
IF(#REF!=1,"20-21/1",
IF(#REF!=2,"20-21/2",
IF(#REF!=3,"21-22/1",
IF(#REF!=4,"21-22/2",
IF(#REF!=5,"22-23/1",
IF(#REF!=6,"22-23/2",
IF(#REF!=7,"23-24/1",
IF(#REF!=8,"23-24/2","Hata3")))))))),
IF(#REF!+BM332=2021,
IF(#REF!=1,"21-22/1",
IF(#REF!=2,"21-22/2",
IF(#REF!=3,"22-23/1",
IF(#REF!=4,"22-23/2",
IF(#REF!=5,"23-24/1",
IF(#REF!=6,"23-24/2",
IF(#REF!=7,"24-25/1",
IF(#REF!=8,"24-25/2","Hata4")))))))),
IF(#REF!+BM332=2022,
IF(#REF!=1,"22-23/1",
IF(#REF!=2,"22-23/2",
IF(#REF!=3,"23-24/1",
IF(#REF!=4,"23-24/2",
IF(#REF!=5,"24-25/1",
IF(#REF!=6,"24-25/2",
IF(#REF!=7,"25-26/1",
IF(#REF!=8,"25-26/2","Hata5")))))))),
IF(#REF!+BM332=2023,
IF(#REF!=1,"23-24/1",
IF(#REF!=2,"23-24/2",
IF(#REF!=3,"24-25/1",
IF(#REF!=4,"24-25/2",
IF(#REF!=5,"25-26/1",
IF(#REF!=6,"25-26/2",
IF(#REF!=7,"26-27/1",
IF(#REF!=8,"26-27/2","Hata6")))))))),
)))))),
IF(BE332="T",
IF(#REF!+BM332=2018,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IF(#REF!+BM332=2019,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IF(#REF!+BM332=2020,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IF(#REF!+BM332=2021,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IF(#REF!+BM332=2022,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IF(#REF!+BM332=2023,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2" s="1" t="s">
        <v>59</v>
      </c>
      <c r="J332" s="1">
        <v>4234786</v>
      </c>
      <c r="N332" s="2">
        <v>4</v>
      </c>
      <c r="O332" s="6">
        <f t="shared" si="254"/>
        <v>3</v>
      </c>
      <c r="P332" s="2">
        <f t="shared" si="255"/>
        <v>3</v>
      </c>
      <c r="Q332" s="2">
        <v>3</v>
      </c>
      <c r="R332" s="2">
        <v>0</v>
      </c>
      <c r="S332" s="2">
        <v>0</v>
      </c>
      <c r="X332" s="3">
        <v>2</v>
      </c>
      <c r="Y332" s="1">
        <f>VLOOKUP(X332,[9]ölçme_sistemleri!I:L,2,FALSE)</f>
        <v>0</v>
      </c>
      <c r="Z332" s="1">
        <f>VLOOKUP(X332,[9]ölçme_sistemleri!I:L,3,FALSE)</f>
        <v>2</v>
      </c>
      <c r="AA332" s="1">
        <f>VLOOKUP(X332,[9]ölçme_sistemleri!I:L,4,FALSE)</f>
        <v>1</v>
      </c>
      <c r="AB332" s="1">
        <f>$O332*[9]ölçme_sistemleri!$J$13</f>
        <v>3</v>
      </c>
      <c r="AC332" s="1">
        <f>$O332*[9]ölçme_sistemleri!$K$13</f>
        <v>6</v>
      </c>
      <c r="AD332" s="1">
        <f>$O332*[9]ölçme_sistemleri!$L$13</f>
        <v>9</v>
      </c>
      <c r="AE332" s="1">
        <f t="shared" si="241"/>
        <v>0</v>
      </c>
      <c r="AF332" s="1">
        <f t="shared" si="242"/>
        <v>12</v>
      </c>
      <c r="AG332" s="1">
        <f t="shared" si="243"/>
        <v>9</v>
      </c>
      <c r="AH332" s="1">
        <f t="shared" si="244"/>
        <v>21</v>
      </c>
      <c r="AI332" s="1">
        <v>14</v>
      </c>
      <c r="AJ332" s="1">
        <f>VLOOKUP(X332,[9]ölçme_sistemleri!I:M,5,FALSE)</f>
        <v>2</v>
      </c>
      <c r="AK332" s="1">
        <f t="shared" si="245"/>
        <v>294</v>
      </c>
      <c r="AL332" s="1">
        <f>(Q332+S332)*AI332</f>
        <v>42</v>
      </c>
      <c r="AM332" s="1">
        <f>VLOOKUP(X332,[9]ölçme_sistemleri!I:N,6,FALSE)</f>
        <v>3</v>
      </c>
      <c r="AN332" s="1">
        <v>2</v>
      </c>
      <c r="AO332" s="1">
        <f t="shared" si="246"/>
        <v>6</v>
      </c>
      <c r="AP332" s="1">
        <v>14</v>
      </c>
      <c r="AQ332" s="1">
        <f t="shared" si="258"/>
        <v>42</v>
      </c>
      <c r="AR332" s="1">
        <f t="shared" si="247"/>
        <v>111</v>
      </c>
      <c r="AS332" s="1">
        <f>IF(BE332="s",25,25)</f>
        <v>25</v>
      </c>
      <c r="AT332" s="1">
        <f t="shared" si="248"/>
        <v>4</v>
      </c>
      <c r="AU332" s="1">
        <f t="shared" si="259"/>
        <v>0</v>
      </c>
      <c r="AV332" s="1">
        <f t="shared" si="260"/>
        <v>0</v>
      </c>
      <c r="AW332" s="1">
        <f t="shared" si="261"/>
        <v>0</v>
      </c>
      <c r="AX332" s="1">
        <f t="shared" si="262"/>
        <v>0</v>
      </c>
      <c r="AY332" s="1">
        <f t="shared" si="249"/>
        <v>-21</v>
      </c>
      <c r="AZ332" s="1">
        <f t="shared" si="263"/>
        <v>0</v>
      </c>
      <c r="BA332" s="1">
        <f t="shared" si="250"/>
        <v>-42</v>
      </c>
      <c r="BB332" s="1">
        <f t="shared" si="251"/>
        <v>0</v>
      </c>
      <c r="BC332" s="1">
        <f t="shared" si="252"/>
        <v>-6</v>
      </c>
      <c r="BD332" s="1">
        <f t="shared" si="253"/>
        <v>0</v>
      </c>
      <c r="BE332" s="1" t="s">
        <v>65</v>
      </c>
      <c r="BF332" s="1">
        <f t="shared" si="264"/>
        <v>42</v>
      </c>
      <c r="BG332" s="1">
        <f t="shared" si="256"/>
        <v>42</v>
      </c>
      <c r="BH332" s="1">
        <f t="shared" si="257"/>
        <v>1</v>
      </c>
      <c r="BI332" s="1" t="e">
        <f>IF(BH332-#REF!=0,"DOĞRU","YANLIŞ")</f>
        <v>#REF!</v>
      </c>
      <c r="BJ332" s="1" t="e">
        <f>#REF!-BH332</f>
        <v>#REF!</v>
      </c>
      <c r="BK332" s="1">
        <v>0</v>
      </c>
      <c r="BM332" s="1">
        <v>0</v>
      </c>
      <c r="BO332" s="1">
        <v>0</v>
      </c>
      <c r="BT332" s="8">
        <f>R332*14</f>
        <v>0</v>
      </c>
      <c r="BU332" s="9"/>
      <c r="BV332" s="10"/>
      <c r="BW332" s="11"/>
      <c r="BX332" s="11"/>
      <c r="BY332" s="11"/>
      <c r="BZ332" s="11"/>
      <c r="CA332" s="11"/>
      <c r="CB332" s="12"/>
      <c r="CC332" s="13"/>
      <c r="CD332" s="14"/>
      <c r="CL332" s="11"/>
      <c r="CM332" s="11"/>
      <c r="CN332" s="11"/>
      <c r="CO332" s="11"/>
      <c r="CP332" s="11"/>
      <c r="CQ332" s="46"/>
      <c r="CR332" s="46"/>
      <c r="CS332" s="48"/>
      <c r="CT332" s="48"/>
      <c r="CU332" s="48"/>
      <c r="CV332" s="48"/>
      <c r="CW332" s="49"/>
      <c r="CX332" s="49"/>
    </row>
    <row r="333" spans="1:103" hidden="1" x14ac:dyDescent="0.25">
      <c r="A333" s="1" t="s">
        <v>369</v>
      </c>
      <c r="B333" s="1" t="s">
        <v>190</v>
      </c>
      <c r="C333" s="1" t="s">
        <v>190</v>
      </c>
      <c r="D333" s="2" t="s">
        <v>63</v>
      </c>
      <c r="E333" s="2" t="s">
        <v>63</v>
      </c>
      <c r="F333" s="3" t="e">
        <f>IF(BE333="S",
IF(#REF!+BM333=2018,
IF(#REF!=1,"18-19/1",
IF(#REF!=2,"18-19/2",
IF(#REF!=3,"19-20/1",
IF(#REF!=4,"19-20/2",
IF(#REF!=5,"20-21/1",
IF(#REF!=6,"20-21/2",
IF(#REF!=7,"21-22/1",
IF(#REF!=8,"21-22/2","Hata1")))))))),
IF(#REF!+BM333=2019,
IF(#REF!=1,"19-20/1",
IF(#REF!=2,"19-20/2",
IF(#REF!=3,"20-21/1",
IF(#REF!=4,"20-21/2",
IF(#REF!=5,"21-22/1",
IF(#REF!=6,"21-22/2",
IF(#REF!=7,"22-23/1",
IF(#REF!=8,"22-23/2","Hata2")))))))),
IF(#REF!+BM333=2020,
IF(#REF!=1,"20-21/1",
IF(#REF!=2,"20-21/2",
IF(#REF!=3,"21-22/1",
IF(#REF!=4,"21-22/2",
IF(#REF!=5,"22-23/1",
IF(#REF!=6,"22-23/2",
IF(#REF!=7,"23-24/1",
IF(#REF!=8,"23-24/2","Hata3")))))))),
IF(#REF!+BM333=2021,
IF(#REF!=1,"21-22/1",
IF(#REF!=2,"21-22/2",
IF(#REF!=3,"22-23/1",
IF(#REF!=4,"22-23/2",
IF(#REF!=5,"23-24/1",
IF(#REF!=6,"23-24/2",
IF(#REF!=7,"24-25/1",
IF(#REF!=8,"24-25/2","Hata4")))))))),
IF(#REF!+BM333=2022,
IF(#REF!=1,"22-23/1",
IF(#REF!=2,"22-23/2",
IF(#REF!=3,"23-24/1",
IF(#REF!=4,"23-24/2",
IF(#REF!=5,"24-25/1",
IF(#REF!=6,"24-25/2",
IF(#REF!=7,"25-26/1",
IF(#REF!=8,"25-26/2","Hata5")))))))),
IF(#REF!+BM333=2023,
IF(#REF!=1,"23-24/1",
IF(#REF!=2,"23-24/2",
IF(#REF!=3,"24-25/1",
IF(#REF!=4,"24-25/2",
IF(#REF!=5,"25-26/1",
IF(#REF!=6,"25-26/2",
IF(#REF!=7,"26-27/1",
IF(#REF!=8,"26-27/2","Hata6")))))))),
)))))),
IF(BE333="T",
IF(#REF!+BM333=2018,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IF(#REF!+BM333=2019,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IF(#REF!+BM333=2020,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IF(#REF!+BM333=2021,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IF(#REF!+BM333=2022,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IF(#REF!+BM333=2023,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3" s="1" t="s">
        <v>59</v>
      </c>
      <c r="J333" s="1">
        <v>4234786</v>
      </c>
      <c r="L333" s="2">
        <v>2465</v>
      </c>
      <c r="N333" s="2">
        <v>8</v>
      </c>
      <c r="O333" s="6">
        <f t="shared" si="254"/>
        <v>7.5</v>
      </c>
      <c r="P333" s="2">
        <f t="shared" si="255"/>
        <v>15</v>
      </c>
      <c r="Q333" s="2">
        <v>0</v>
      </c>
      <c r="R333" s="2">
        <v>15</v>
      </c>
      <c r="S333" s="2">
        <v>0</v>
      </c>
      <c r="X333" s="3">
        <v>0</v>
      </c>
      <c r="Y333" s="1">
        <f>VLOOKUP(X333,[6]ölçme_sistemleri!I:L,2,FALSE)</f>
        <v>0</v>
      </c>
      <c r="Z333" s="1">
        <f>VLOOKUP(X333,[6]ölçme_sistemleri!I:L,3,FALSE)</f>
        <v>0</v>
      </c>
      <c r="AA333" s="1">
        <f>VLOOKUP(X333,[6]ölçme_sistemleri!I:L,4,FALSE)</f>
        <v>0</v>
      </c>
      <c r="AB333" s="1">
        <f>$O333*[6]ölçme_sistemleri!$J$13</f>
        <v>7.5</v>
      </c>
      <c r="AC333" s="1">
        <f>$O333*[6]ölçme_sistemleri!$K$13</f>
        <v>15</v>
      </c>
      <c r="AD333" s="1">
        <f>$O333*[6]ölçme_sistemleri!$L$13</f>
        <v>22.5</v>
      </c>
      <c r="AE333" s="1">
        <f t="shared" si="241"/>
        <v>0</v>
      </c>
      <c r="AF333" s="1">
        <f t="shared" si="242"/>
        <v>0</v>
      </c>
      <c r="AG333" s="1">
        <f t="shared" si="243"/>
        <v>0</v>
      </c>
      <c r="AH333" s="1">
        <f t="shared" si="244"/>
        <v>0</v>
      </c>
      <c r="AI333" s="1">
        <v>14</v>
      </c>
      <c r="AJ333" s="1">
        <f>VLOOKUP(X333,[6]ölçme_sistemleri!I:M,5,FALSE)</f>
        <v>0</v>
      </c>
      <c r="AK333" s="1">
        <f t="shared" si="245"/>
        <v>0</v>
      </c>
      <c r="AL333" s="1">
        <f>(Q333+S333)*AI333</f>
        <v>0</v>
      </c>
      <c r="AM333" s="1">
        <f>VLOOKUP(X333,[6]ölçme_sistemleri!I:N,6,FALSE)</f>
        <v>0</v>
      </c>
      <c r="AN333" s="1">
        <v>2</v>
      </c>
      <c r="AO333" s="1">
        <f t="shared" si="246"/>
        <v>0</v>
      </c>
      <c r="AP333" s="1">
        <v>14</v>
      </c>
      <c r="AQ333" s="1">
        <f t="shared" si="258"/>
        <v>210</v>
      </c>
      <c r="AR333" s="1">
        <f t="shared" si="247"/>
        <v>210</v>
      </c>
      <c r="AS333" s="1">
        <f>IF(BE333="s",25,25)</f>
        <v>25</v>
      </c>
      <c r="AT333" s="1">
        <f t="shared" si="248"/>
        <v>8</v>
      </c>
      <c r="AU333" s="1">
        <f t="shared" si="259"/>
        <v>0</v>
      </c>
      <c r="AV333" s="1">
        <f t="shared" si="260"/>
        <v>0</v>
      </c>
      <c r="AW333" s="1">
        <f t="shared" si="261"/>
        <v>0</v>
      </c>
      <c r="AX333" s="1">
        <f t="shared" si="262"/>
        <v>0</v>
      </c>
      <c r="AY333" s="1">
        <f t="shared" si="249"/>
        <v>-22.5</v>
      </c>
      <c r="AZ333" s="1">
        <f t="shared" si="263"/>
        <v>0</v>
      </c>
      <c r="BA333" s="1">
        <f t="shared" si="250"/>
        <v>0</v>
      </c>
      <c r="BB333" s="1">
        <f t="shared" si="251"/>
        <v>0</v>
      </c>
      <c r="BC333" s="1">
        <f t="shared" si="252"/>
        <v>0</v>
      </c>
      <c r="BD333" s="1">
        <f t="shared" si="253"/>
        <v>0</v>
      </c>
      <c r="BE333" s="1" t="s">
        <v>65</v>
      </c>
      <c r="BF333" s="1">
        <f t="shared" si="264"/>
        <v>105</v>
      </c>
      <c r="BG333" s="1">
        <f t="shared" si="256"/>
        <v>105</v>
      </c>
      <c r="BH333" s="1">
        <f t="shared" si="257"/>
        <v>4</v>
      </c>
      <c r="BI333" s="1" t="e">
        <f>IF(BH333-#REF!=0,"DOĞRU","YANLIŞ")</f>
        <v>#REF!</v>
      </c>
      <c r="BJ333" s="1" t="e">
        <f>#REF!-BH333</f>
        <v>#REF!</v>
      </c>
      <c r="BK333" s="1">
        <v>0</v>
      </c>
      <c r="BM333" s="1">
        <v>0</v>
      </c>
      <c r="BO333" s="1">
        <v>4</v>
      </c>
      <c r="BT333" s="8">
        <f>R333*14</f>
        <v>210</v>
      </c>
      <c r="BU333" s="9"/>
      <c r="BV333" s="10"/>
      <c r="BW333" s="11"/>
      <c r="BX333" s="11"/>
      <c r="BY333" s="11"/>
      <c r="BZ333" s="11"/>
      <c r="CA333" s="11"/>
      <c r="CB333" s="12"/>
      <c r="CC333" s="13"/>
      <c r="CD333" s="14"/>
      <c r="CL333" s="11"/>
      <c r="CM333" s="11"/>
      <c r="CN333" s="11"/>
      <c r="CO333" s="11"/>
      <c r="CP333" s="11"/>
      <c r="CQ333" s="54"/>
      <c r="CR333" s="46"/>
      <c r="CS333" s="54"/>
      <c r="CT333" s="48"/>
      <c r="CU333" s="48"/>
      <c r="CV333" s="48"/>
      <c r="CW333" s="49"/>
      <c r="CX333" s="49"/>
    </row>
    <row r="334" spans="1:103" hidden="1" x14ac:dyDescent="0.25">
      <c r="A334" s="26" t="s">
        <v>447</v>
      </c>
      <c r="B334" t="s">
        <v>448</v>
      </c>
      <c r="C334" t="s">
        <v>448</v>
      </c>
      <c r="D334" s="28" t="s">
        <v>58</v>
      </c>
      <c r="E334" s="28" t="s">
        <v>58</v>
      </c>
      <c r="F334" s="3" t="e">
        <f>IF(BE334="S",
IF(#REF!+BM334=2018,
IF(#REF!=1,"18-19/1",
IF(#REF!=2,"18-19/2",
IF(#REF!=3,"19-20/1",
IF(#REF!=4,"19-20/2",
IF(#REF!=5,"20-21/1",
IF(#REF!=6,"20-21/2",
IF(#REF!=7,"21-22/1",
IF(#REF!=8,"21-22/2","Hata1")))))))),
IF(#REF!+BM334=2019,
IF(#REF!=1,"19-20/1",
IF(#REF!=2,"19-20/2",
IF(#REF!=3,"20-21/1",
IF(#REF!=4,"20-21/2",
IF(#REF!=5,"21-22/1",
IF(#REF!=6,"21-22/2",
IF(#REF!=7,"22-23/1",
IF(#REF!=8,"22-23/2","Hata2")))))))),
IF(#REF!+BM334=2020,
IF(#REF!=1,"20-21/1",
IF(#REF!=2,"20-21/2",
IF(#REF!=3,"21-22/1",
IF(#REF!=4,"21-22/2",
IF(#REF!=5,"22-23/1",
IF(#REF!=6,"22-23/2",
IF(#REF!=7,"23-24/1",
IF(#REF!=8,"23-24/2","Hata3")))))))),
IF(#REF!+BM334=2021,
IF(#REF!=1,"21-22/1",
IF(#REF!=2,"21-22/2",
IF(#REF!=3,"22-23/1",
IF(#REF!=4,"22-23/2",
IF(#REF!=5,"23-24/1",
IF(#REF!=6,"23-24/2",
IF(#REF!=7,"24-25/1",
IF(#REF!=8,"24-25/2","Hata4")))))))),
IF(#REF!+BM334=2022,
IF(#REF!=1,"22-23/1",
IF(#REF!=2,"22-23/2",
IF(#REF!=3,"23-24/1",
IF(#REF!=4,"23-24/2",
IF(#REF!=5,"24-25/1",
IF(#REF!=6,"24-25/2",
IF(#REF!=7,"25-26/1",
IF(#REF!=8,"25-26/2","Hata5")))))))),
IF(#REF!+BM334=2023,
IF(#REF!=1,"23-24/1",
IF(#REF!=2,"23-24/2",
IF(#REF!=3,"24-25/1",
IF(#REF!=4,"24-25/2",
IF(#REF!=5,"25-26/1",
IF(#REF!=6,"25-26/2",
IF(#REF!=7,"26-27/1",
IF(#REF!=8,"26-27/2","Hata6")))))))),
)))))),
IF(BE334="T",
IF(#REF!+BM334=2018,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IF(#REF!+BM334=2019,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IF(#REF!+BM334=2020,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IF(#REF!+BM334=2021,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IF(#REF!+BM334=2022,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IF(#REF!+BM334=2023,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4" s="26" t="s">
        <v>75</v>
      </c>
      <c r="J334" s="27">
        <v>4234776</v>
      </c>
      <c r="K334" s="26"/>
      <c r="L334" s="28">
        <v>3247</v>
      </c>
      <c r="M334" s="26"/>
      <c r="N334" s="28">
        <v>5</v>
      </c>
      <c r="O334" s="29">
        <f t="shared" si="254"/>
        <v>3</v>
      </c>
      <c r="P334">
        <f t="shared" si="255"/>
        <v>3</v>
      </c>
      <c r="Q334" s="2">
        <v>3</v>
      </c>
      <c r="R334" s="2">
        <v>0</v>
      </c>
      <c r="S334" s="2">
        <v>0</v>
      </c>
      <c r="T334"/>
      <c r="U334"/>
      <c r="V334"/>
      <c r="W334"/>
      <c r="X334" s="28">
        <v>3</v>
      </c>
      <c r="Y334" s="1">
        <f>VLOOKUP($X334,[22]ölçme_sistemleri!$I$3:$N$10,2,FALSE)</f>
        <v>2</v>
      </c>
      <c r="Z334" s="1">
        <f>VLOOKUP($X334,[22]ölçme_sistemleri!$I$3:$N$10,3,FALSE)</f>
        <v>1</v>
      </c>
      <c r="AA334" s="1">
        <f>VLOOKUP($X334,[22]ölçme_sistemleri!$I$3:$N$10,4,FALSE)</f>
        <v>1</v>
      </c>
      <c r="AB334" s="1">
        <f>VLOOKUP($BE334,[22]ölçme_sistemleri!$I$13:$L$14,2,FALSE)*$O334</f>
        <v>3</v>
      </c>
      <c r="AC334" s="1">
        <f>VLOOKUP($BE334,[22]ölçme_sistemleri!$I$13:$L$14,3,FALSE)*$O334</f>
        <v>6</v>
      </c>
      <c r="AD334" s="1">
        <f>VLOOKUP($BE334,[22]ölçme_sistemleri!$I$13:$L$14,4,FALSE)*$O334</f>
        <v>9</v>
      </c>
      <c r="AE334" s="1">
        <f t="shared" si="241"/>
        <v>6</v>
      </c>
      <c r="AF334" s="1">
        <f t="shared" si="242"/>
        <v>6</v>
      </c>
      <c r="AG334" s="1">
        <f t="shared" si="243"/>
        <v>9</v>
      </c>
      <c r="AH334" s="1">
        <f t="shared" si="244"/>
        <v>21</v>
      </c>
      <c r="AI334" s="1">
        <v>14</v>
      </c>
      <c r="AJ334" s="1">
        <f>VLOOKUP(X$2:X335,[22]ölçme_sistemleri!$I$3:$M$10,5,FALSE)</f>
        <v>3</v>
      </c>
      <c r="AK334" s="1">
        <f t="shared" si="245"/>
        <v>294</v>
      </c>
      <c r="AL334" s="1">
        <f>AI334*4</f>
        <v>56</v>
      </c>
      <c r="AM334" s="1">
        <f>VLOOKUP(X$2:$X335,[22]ölçme_sistemleri!$I$3:$N$10,6,FALSE)</f>
        <v>4</v>
      </c>
      <c r="AN334" s="1">
        <v>2</v>
      </c>
      <c r="AO334" s="1">
        <f t="shared" si="246"/>
        <v>8</v>
      </c>
      <c r="AP334" s="1">
        <v>14</v>
      </c>
      <c r="AQ334" s="1">
        <f t="shared" si="258"/>
        <v>42</v>
      </c>
      <c r="AR334" s="1">
        <f t="shared" si="247"/>
        <v>127</v>
      </c>
      <c r="AS334" s="1">
        <f>IF(BE334="s",25,30)</f>
        <v>25</v>
      </c>
      <c r="AT334" s="1">
        <f t="shared" si="248"/>
        <v>5</v>
      </c>
      <c r="AU334" s="1">
        <f t="shared" si="259"/>
        <v>0</v>
      </c>
      <c r="AV334" s="1">
        <f t="shared" si="260"/>
        <v>0</v>
      </c>
      <c r="AW334" s="1">
        <f t="shared" si="261"/>
        <v>0</v>
      </c>
      <c r="AX334" s="1">
        <f t="shared" si="262"/>
        <v>0</v>
      </c>
      <c r="AY334" s="1">
        <f t="shared" si="249"/>
        <v>-21</v>
      </c>
      <c r="AZ334" s="1">
        <f t="shared" si="263"/>
        <v>0</v>
      </c>
      <c r="BA334" s="1">
        <f t="shared" si="250"/>
        <v>-56</v>
      </c>
      <c r="BB334" s="1">
        <f t="shared" si="251"/>
        <v>0</v>
      </c>
      <c r="BC334" s="1">
        <f t="shared" si="252"/>
        <v>-8</v>
      </c>
      <c r="BD334" s="1">
        <f t="shared" si="253"/>
        <v>0</v>
      </c>
      <c r="BE334" s="1" t="s">
        <v>65</v>
      </c>
      <c r="BF334" s="1">
        <f t="shared" si="264"/>
        <v>42</v>
      </c>
      <c r="BG334" s="1">
        <f t="shared" si="256"/>
        <v>42</v>
      </c>
      <c r="BH334" s="1">
        <f t="shared" si="257"/>
        <v>1</v>
      </c>
      <c r="BI334" t="e">
        <f>IF(BH334-#REF!=0,"DOĞRU","YANLIŞ")</f>
        <v>#REF!</v>
      </c>
      <c r="BJ334" t="e">
        <f>#REF!-BH334</f>
        <v>#REF!</v>
      </c>
      <c r="BK334" s="1">
        <v>0</v>
      </c>
      <c r="BL334"/>
      <c r="BM334" s="1">
        <v>0</v>
      </c>
      <c r="BO334" s="1">
        <v>2</v>
      </c>
      <c r="BT334" s="8"/>
      <c r="BU334" s="9"/>
      <c r="BV334" s="10"/>
      <c r="BW334" s="11"/>
      <c r="BX334" s="11"/>
      <c r="BY334" s="11"/>
      <c r="BZ334" s="11"/>
      <c r="CA334" s="11"/>
      <c r="CB334" s="12"/>
      <c r="CC334" s="13"/>
      <c r="CD334" s="14"/>
      <c r="CL334" s="11"/>
      <c r="CM334" s="11"/>
      <c r="CN334" s="11"/>
      <c r="CO334" s="11"/>
      <c r="CP334" s="11"/>
      <c r="CQ334" s="49"/>
      <c r="CR334" s="46"/>
      <c r="CS334" s="54"/>
      <c r="CT334" s="48"/>
      <c r="CU334" s="48"/>
      <c r="CV334" s="48"/>
      <c r="CW334" s="49"/>
      <c r="CX334" s="49"/>
    </row>
    <row r="335" spans="1:103" hidden="1" x14ac:dyDescent="0.25">
      <c r="A335" s="26" t="s">
        <v>449</v>
      </c>
      <c r="B335" t="s">
        <v>450</v>
      </c>
      <c r="C335" t="s">
        <v>450</v>
      </c>
      <c r="D335" s="28" t="s">
        <v>58</v>
      </c>
      <c r="E335" s="28" t="s">
        <v>58</v>
      </c>
      <c r="F335" s="3" t="e">
        <f>IF(BE335="S",
IF(#REF!+BM335=2018,
IF(#REF!=1,"18-19/1",
IF(#REF!=2,"18-19/2",
IF(#REF!=3,"19-20/1",
IF(#REF!=4,"19-20/2",
IF(#REF!=5,"20-21/1",
IF(#REF!=6,"20-21/2",
IF(#REF!=7,"21-22/1",
IF(#REF!=8,"21-22/2","Hata1")))))))),
IF(#REF!+BM335=2019,
IF(#REF!=1,"19-20/1",
IF(#REF!=2,"19-20/2",
IF(#REF!=3,"20-21/1",
IF(#REF!=4,"20-21/2",
IF(#REF!=5,"21-22/1",
IF(#REF!=6,"21-22/2",
IF(#REF!=7,"22-23/1",
IF(#REF!=8,"22-23/2","Hata2")))))))),
IF(#REF!+BM335=2020,
IF(#REF!=1,"20-21/1",
IF(#REF!=2,"20-21/2",
IF(#REF!=3,"21-22/1",
IF(#REF!=4,"21-22/2",
IF(#REF!=5,"22-23/1",
IF(#REF!=6,"22-23/2",
IF(#REF!=7,"23-24/1",
IF(#REF!=8,"23-24/2","Hata3")))))))),
IF(#REF!+BM335=2021,
IF(#REF!=1,"21-22/1",
IF(#REF!=2,"21-22/2",
IF(#REF!=3,"22-23/1",
IF(#REF!=4,"22-23/2",
IF(#REF!=5,"23-24/1",
IF(#REF!=6,"23-24/2",
IF(#REF!=7,"24-25/1",
IF(#REF!=8,"24-25/2","Hata4")))))))),
IF(#REF!+BM335=2022,
IF(#REF!=1,"22-23/1",
IF(#REF!=2,"22-23/2",
IF(#REF!=3,"23-24/1",
IF(#REF!=4,"23-24/2",
IF(#REF!=5,"24-25/1",
IF(#REF!=6,"24-25/2",
IF(#REF!=7,"25-26/1",
IF(#REF!=8,"25-26/2","Hata5")))))))),
IF(#REF!+BM335=2023,
IF(#REF!=1,"23-24/1",
IF(#REF!=2,"23-24/2",
IF(#REF!=3,"24-25/1",
IF(#REF!=4,"24-25/2",
IF(#REF!=5,"25-26/1",
IF(#REF!=6,"25-26/2",
IF(#REF!=7,"26-27/1",
IF(#REF!=8,"26-27/2","Hata6")))))))),
)))))),
IF(BE335="T",
IF(#REF!+BM335=2018,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IF(#REF!+BM335=2019,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IF(#REF!+BM335=2020,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IF(#REF!+BM335=2021,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IF(#REF!+BM335=2022,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IF(#REF!+BM335=2023,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5" s="26" t="s">
        <v>75</v>
      </c>
      <c r="J335" s="27">
        <v>4234776</v>
      </c>
      <c r="K335" s="26"/>
      <c r="L335" s="28">
        <v>118</v>
      </c>
      <c r="M335" s="26"/>
      <c r="N335" s="28">
        <v>5</v>
      </c>
      <c r="O335" s="29">
        <f t="shared" si="254"/>
        <v>3</v>
      </c>
      <c r="P335">
        <f t="shared" si="255"/>
        <v>3</v>
      </c>
      <c r="Q335" s="2">
        <v>0</v>
      </c>
      <c r="R335" s="2">
        <v>0</v>
      </c>
      <c r="S335" s="2">
        <v>3</v>
      </c>
      <c r="T335"/>
      <c r="U335"/>
      <c r="V335"/>
      <c r="W335"/>
      <c r="X335" s="28">
        <v>3</v>
      </c>
      <c r="Y335" s="1">
        <f>VLOOKUP($X335,[21]ölçme_sistemleri!$I$3:$N$10,2,FALSE)</f>
        <v>2</v>
      </c>
      <c r="Z335" s="1">
        <f>VLOOKUP($X335,[21]ölçme_sistemleri!$I$3:$N$10,3,FALSE)</f>
        <v>1</v>
      </c>
      <c r="AA335" s="1">
        <f>VLOOKUP($X335,[21]ölçme_sistemleri!$I$3:$N$10,4,FALSE)</f>
        <v>1</v>
      </c>
      <c r="AB335" s="1">
        <f>VLOOKUP($BE335,[21]ölçme_sistemleri!$I$13:$L$14,2,FALSE)*$O335</f>
        <v>3</v>
      </c>
      <c r="AC335" s="1">
        <f>VLOOKUP($BE335,[21]ölçme_sistemleri!$I$13:$L$14,3,FALSE)*$O335</f>
        <v>6</v>
      </c>
      <c r="AD335" s="1">
        <f>VLOOKUP($BE335,[21]ölçme_sistemleri!$I$13:$L$14,4,FALSE)*$O335</f>
        <v>9</v>
      </c>
      <c r="AE335" s="1">
        <f t="shared" si="241"/>
        <v>6</v>
      </c>
      <c r="AF335" s="1">
        <f t="shared" si="242"/>
        <v>6</v>
      </c>
      <c r="AG335" s="1">
        <f t="shared" si="243"/>
        <v>9</v>
      </c>
      <c r="AH335" s="1">
        <f t="shared" si="244"/>
        <v>21</v>
      </c>
      <c r="AI335" s="1">
        <v>14</v>
      </c>
      <c r="AJ335" s="1">
        <f>VLOOKUP(X$2:X349,[21]ölçme_sistemleri!$I$3:$M$10,5,FALSE)</f>
        <v>3</v>
      </c>
      <c r="AK335" s="1">
        <f t="shared" si="245"/>
        <v>294</v>
      </c>
      <c r="AL335" s="1">
        <f>(Q335+S335)*AI335</f>
        <v>42</v>
      </c>
      <c r="AM335" s="1">
        <f>VLOOKUP(X$16:$X349,[21]ölçme_sistemleri!$I$3:$N$10,6,FALSE)</f>
        <v>4</v>
      </c>
      <c r="AN335" s="1">
        <v>2</v>
      </c>
      <c r="AO335" s="1">
        <f t="shared" si="246"/>
        <v>8</v>
      </c>
      <c r="AP335" s="1">
        <v>14</v>
      </c>
      <c r="AQ335" s="1">
        <f t="shared" si="258"/>
        <v>42</v>
      </c>
      <c r="AR335" s="1">
        <f t="shared" si="247"/>
        <v>113</v>
      </c>
      <c r="AS335" s="1">
        <f>IF(BE335="s",25,30)</f>
        <v>25</v>
      </c>
      <c r="AT335" s="1">
        <f t="shared" si="248"/>
        <v>5</v>
      </c>
      <c r="AU335" s="1">
        <f t="shared" si="259"/>
        <v>0</v>
      </c>
      <c r="AV335" s="1">
        <f t="shared" si="260"/>
        <v>0</v>
      </c>
      <c r="AW335" s="1">
        <f t="shared" si="261"/>
        <v>0</v>
      </c>
      <c r="AX335" s="1">
        <f t="shared" si="262"/>
        <v>0</v>
      </c>
      <c r="AY335" s="1">
        <f t="shared" si="249"/>
        <v>-21</v>
      </c>
      <c r="AZ335" s="1">
        <f t="shared" si="263"/>
        <v>0</v>
      </c>
      <c r="BA335" s="1">
        <f t="shared" si="250"/>
        <v>-42</v>
      </c>
      <c r="BB335" s="1">
        <f t="shared" si="251"/>
        <v>0</v>
      </c>
      <c r="BC335" s="1">
        <f t="shared" si="252"/>
        <v>-8</v>
      </c>
      <c r="BD335" s="1">
        <f t="shared" si="253"/>
        <v>0</v>
      </c>
      <c r="BE335" s="1" t="s">
        <v>65</v>
      </c>
      <c r="BF335" s="1">
        <f t="shared" si="264"/>
        <v>42</v>
      </c>
      <c r="BG335" s="1">
        <f t="shared" si="256"/>
        <v>42</v>
      </c>
      <c r="BH335" s="1">
        <f t="shared" si="257"/>
        <v>1</v>
      </c>
      <c r="BI335" t="e">
        <f>IF(BH335-#REF!=0,"DOĞRU","YANLIŞ")</f>
        <v>#REF!</v>
      </c>
      <c r="BJ335" t="e">
        <f>#REF!-BH335</f>
        <v>#REF!</v>
      </c>
      <c r="BK335" s="1">
        <v>1</v>
      </c>
      <c r="BL335"/>
      <c r="BM335" s="1">
        <v>0</v>
      </c>
      <c r="BO335" s="1">
        <v>4</v>
      </c>
      <c r="BT335" s="8"/>
      <c r="BU335" s="9"/>
      <c r="BV335" s="10"/>
      <c r="BW335" s="11"/>
      <c r="BX335" s="11"/>
      <c r="BY335" s="11"/>
      <c r="BZ335" s="11"/>
      <c r="CA335" s="11"/>
      <c r="CB335" s="12"/>
      <c r="CC335" s="13"/>
      <c r="CD335" s="14"/>
      <c r="CL335" s="11"/>
      <c r="CM335" s="11"/>
      <c r="CN335" s="11"/>
      <c r="CO335" s="11"/>
      <c r="CP335" s="11"/>
      <c r="CQ335" s="49"/>
      <c r="CR335" s="46"/>
      <c r="CS335" s="48"/>
      <c r="CT335" s="48"/>
      <c r="CU335" s="48"/>
      <c r="CV335" s="48"/>
      <c r="CW335" s="49"/>
      <c r="CX335" s="49"/>
    </row>
    <row r="336" spans="1:103" hidden="1" x14ac:dyDescent="0.25">
      <c r="A336" s="26" t="s">
        <v>479</v>
      </c>
      <c r="B336" s="39" t="s">
        <v>480</v>
      </c>
      <c r="C336" t="s">
        <v>480</v>
      </c>
      <c r="D336" s="2" t="s">
        <v>63</v>
      </c>
      <c r="E336" s="2" t="s">
        <v>63</v>
      </c>
      <c r="F336" s="3" t="s">
        <v>481</v>
      </c>
      <c r="I336" s="26" t="s">
        <v>68</v>
      </c>
      <c r="J336" s="27">
        <v>4234788</v>
      </c>
      <c r="K336" s="26"/>
      <c r="L336" s="28">
        <v>638</v>
      </c>
      <c r="M336" s="26"/>
      <c r="N336" s="28">
        <v>5</v>
      </c>
      <c r="O336" s="6">
        <v>3</v>
      </c>
      <c r="P336" s="2">
        <v>5</v>
      </c>
      <c r="Q336" s="2">
        <v>1</v>
      </c>
      <c r="R336" s="2">
        <v>4</v>
      </c>
      <c r="S336" s="2">
        <v>0</v>
      </c>
      <c r="T336"/>
      <c r="U336"/>
      <c r="X336" s="3">
        <v>3</v>
      </c>
      <c r="Y336" s="1">
        <v>2</v>
      </c>
      <c r="Z336" s="1">
        <v>1</v>
      </c>
      <c r="AA336" s="1">
        <v>1</v>
      </c>
      <c r="AB336" s="1">
        <v>3</v>
      </c>
      <c r="AC336" s="1">
        <v>6</v>
      </c>
      <c r="AD336" s="1">
        <v>9</v>
      </c>
      <c r="AE336" s="1">
        <v>6</v>
      </c>
      <c r="AF336" s="1">
        <v>6</v>
      </c>
      <c r="AG336" s="1">
        <v>9</v>
      </c>
      <c r="AH336" s="1">
        <v>21</v>
      </c>
      <c r="AI336" s="1">
        <v>14</v>
      </c>
      <c r="AJ336" s="1">
        <v>3</v>
      </c>
      <c r="AK336" s="1">
        <v>294</v>
      </c>
      <c r="AL336" s="1">
        <v>14</v>
      </c>
      <c r="AM336" s="1">
        <v>4</v>
      </c>
      <c r="AN336" s="1">
        <v>2</v>
      </c>
      <c r="AO336" s="1">
        <v>8</v>
      </c>
      <c r="AP336" s="1">
        <v>14</v>
      </c>
      <c r="AQ336" s="1">
        <v>70</v>
      </c>
      <c r="AR336" s="1">
        <v>113</v>
      </c>
      <c r="AS336" s="1">
        <v>25</v>
      </c>
      <c r="AT336" s="1">
        <v>5</v>
      </c>
      <c r="AU336" s="1">
        <v>0</v>
      </c>
      <c r="AV336" s="1">
        <v>0</v>
      </c>
      <c r="AW336" s="1">
        <v>0</v>
      </c>
      <c r="AX336" s="1">
        <v>0</v>
      </c>
      <c r="AY336" s="1">
        <v>-21</v>
      </c>
      <c r="AZ336" s="1">
        <v>0</v>
      </c>
      <c r="BA336" s="1">
        <v>-14</v>
      </c>
      <c r="BB336" s="1">
        <v>0</v>
      </c>
      <c r="BC336" s="1">
        <v>-8</v>
      </c>
      <c r="BD336" s="1">
        <v>0</v>
      </c>
      <c r="BE336" s="1" t="s">
        <v>65</v>
      </c>
      <c r="BF336" s="1">
        <v>42</v>
      </c>
      <c r="BG336" s="1">
        <v>42</v>
      </c>
      <c r="BH336" s="1">
        <v>1</v>
      </c>
      <c r="BI336" s="1" t="e">
        <v>#REF!</v>
      </c>
      <c r="BJ336" s="1" t="e">
        <v>#REF!</v>
      </c>
      <c r="BK336" s="1">
        <v>1</v>
      </c>
      <c r="BM336" s="1">
        <v>0</v>
      </c>
      <c r="BO336" s="1">
        <v>3</v>
      </c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L336" s="11"/>
      <c r="CM336" s="11"/>
      <c r="CN336" s="11"/>
      <c r="CO336" s="11"/>
      <c r="CP336" s="11"/>
      <c r="CQ336" s="49"/>
      <c r="CR336" s="46"/>
      <c r="CS336" s="49"/>
      <c r="CT336" s="48"/>
      <c r="CU336" s="49"/>
      <c r="CV336" s="48"/>
      <c r="CW336" s="49"/>
      <c r="CX336" s="49"/>
    </row>
    <row r="337" spans="1:104" hidden="1" x14ac:dyDescent="0.25">
      <c r="A337" s="26" t="s">
        <v>482</v>
      </c>
      <c r="B337" s="39" t="s">
        <v>483</v>
      </c>
      <c r="C337" t="s">
        <v>483</v>
      </c>
      <c r="D337" s="2" t="s">
        <v>63</v>
      </c>
      <c r="E337" s="2" t="s">
        <v>63</v>
      </c>
      <c r="F337" s="3" t="s">
        <v>481</v>
      </c>
      <c r="I337" s="26" t="s">
        <v>68</v>
      </c>
      <c r="J337" s="27">
        <v>4234788</v>
      </c>
      <c r="K337" s="26"/>
      <c r="L337" s="28">
        <v>2803</v>
      </c>
      <c r="M337" s="26"/>
      <c r="N337" s="28">
        <v>5</v>
      </c>
      <c r="O337" s="6">
        <v>3</v>
      </c>
      <c r="P337" s="2">
        <v>5</v>
      </c>
      <c r="Q337" s="2">
        <v>1</v>
      </c>
      <c r="R337" s="2">
        <v>4</v>
      </c>
      <c r="S337" s="2">
        <v>0</v>
      </c>
      <c r="T337"/>
      <c r="U337"/>
      <c r="X337" s="37">
        <v>3</v>
      </c>
      <c r="Y337" s="1">
        <v>2</v>
      </c>
      <c r="Z337" s="1">
        <v>1</v>
      </c>
      <c r="AA337" s="1">
        <v>1</v>
      </c>
      <c r="AB337" s="1">
        <v>3</v>
      </c>
      <c r="AC337" s="1">
        <v>6</v>
      </c>
      <c r="AD337" s="1">
        <v>9</v>
      </c>
      <c r="AE337" s="1">
        <v>6</v>
      </c>
      <c r="AF337" s="1">
        <v>6</v>
      </c>
      <c r="AG337" s="1">
        <v>9</v>
      </c>
      <c r="AH337" s="1">
        <v>21</v>
      </c>
      <c r="AI337" s="1">
        <v>14</v>
      </c>
      <c r="AJ337" s="1">
        <v>3</v>
      </c>
      <c r="AK337" s="1">
        <v>294</v>
      </c>
      <c r="AL337" s="1">
        <v>14</v>
      </c>
      <c r="AM337" s="1">
        <v>4</v>
      </c>
      <c r="AN337" s="1">
        <v>2</v>
      </c>
      <c r="AO337" s="1">
        <v>8</v>
      </c>
      <c r="AP337" s="1">
        <v>14</v>
      </c>
      <c r="AQ337" s="1">
        <v>70</v>
      </c>
      <c r="AR337" s="1">
        <v>113</v>
      </c>
      <c r="AS337" s="1">
        <v>25</v>
      </c>
      <c r="AT337" s="1">
        <v>5</v>
      </c>
      <c r="AU337" s="1">
        <v>0</v>
      </c>
      <c r="AV337" s="1">
        <v>0</v>
      </c>
      <c r="AW337" s="1">
        <v>0</v>
      </c>
      <c r="AX337" s="1">
        <v>0</v>
      </c>
      <c r="AY337" s="1">
        <v>-21</v>
      </c>
      <c r="AZ337" s="1">
        <v>0</v>
      </c>
      <c r="BA337" s="1">
        <v>-14</v>
      </c>
      <c r="BB337" s="1">
        <v>0</v>
      </c>
      <c r="BC337" s="1">
        <v>-8</v>
      </c>
      <c r="BD337" s="1">
        <v>0</v>
      </c>
      <c r="BE337" s="1" t="s">
        <v>65</v>
      </c>
      <c r="BF337" s="1">
        <v>42</v>
      </c>
      <c r="BG337" s="1">
        <v>42</v>
      </c>
      <c r="BH337" s="1">
        <v>1</v>
      </c>
      <c r="BI337" s="1" t="e">
        <v>#REF!</v>
      </c>
      <c r="BJ337" s="1" t="e">
        <v>#REF!</v>
      </c>
      <c r="BK337" s="1">
        <v>1</v>
      </c>
      <c r="BM337" s="1">
        <v>0</v>
      </c>
      <c r="BO337" s="1">
        <v>3</v>
      </c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L337" s="11"/>
      <c r="CM337" s="11"/>
      <c r="CN337" s="11"/>
      <c r="CO337" s="11"/>
      <c r="CP337" s="11"/>
      <c r="CQ337" s="49"/>
      <c r="CR337" s="46"/>
      <c r="CS337" s="49"/>
      <c r="CT337" s="48"/>
      <c r="CU337" s="49"/>
      <c r="CV337" s="48"/>
      <c r="CW337" s="49"/>
      <c r="CX337" s="49"/>
    </row>
    <row r="338" spans="1:104" hidden="1" x14ac:dyDescent="0.25">
      <c r="A338" s="26" t="s">
        <v>477</v>
      </c>
      <c r="B338" s="39" t="s">
        <v>478</v>
      </c>
      <c r="C338" t="s">
        <v>478</v>
      </c>
      <c r="D338" s="37" t="s">
        <v>63</v>
      </c>
      <c r="E338" s="37" t="s">
        <v>63</v>
      </c>
      <c r="F338" s="3" t="e">
        <f>IF(BE338="S",
IF(#REF!+BM338=2018,
IF(#REF!=1,"18-19/1",
IF(#REF!=2,"18-19/2",
IF(#REF!=3,"19-20/1",
IF(#REF!=4,"19-20/2",
IF(#REF!=5,"20-21/1",
IF(#REF!=6,"20-21/2",
IF(#REF!=7,"21-22/1",
IF(#REF!=8,"21-22/2","Hata1")))))))),
IF(#REF!+BM338=2019,
IF(#REF!=1,"19-20/1",
IF(#REF!=2,"19-20/2",
IF(#REF!=3,"20-21/1",
IF(#REF!=4,"20-21/2",
IF(#REF!=5,"21-22/1",
IF(#REF!=6,"21-22/2",
IF(#REF!=7,"22-23/1",
IF(#REF!=8,"22-23/2","Hata2")))))))),
IF(#REF!+BM338=2020,
IF(#REF!=1,"20-21/1",
IF(#REF!=2,"20-21/2",
IF(#REF!=3,"21-22/1",
IF(#REF!=4,"21-22/2",
IF(#REF!=5,"22-23/1",
IF(#REF!=6,"22-23/2",
IF(#REF!=7,"23-24/1",
IF(#REF!=8,"23-24/2","Hata3")))))))),
IF(#REF!+BM338=2021,
IF(#REF!=1,"21-22/1",
IF(#REF!=2,"21-22/2",
IF(#REF!=3,"22-23/1",
IF(#REF!=4,"22-23/2",
IF(#REF!=5,"23-24/1",
IF(#REF!=6,"23-24/2",
IF(#REF!=7,"24-25/1",
IF(#REF!=8,"24-25/2","Hata4")))))))),
IF(#REF!+BM338=2022,
IF(#REF!=1,"22-23/1",
IF(#REF!=2,"22-23/2",
IF(#REF!=3,"23-24/1",
IF(#REF!=4,"23-24/2",
IF(#REF!=5,"24-25/1",
IF(#REF!=6,"24-25/2",
IF(#REF!=7,"25-26/1",
IF(#REF!=8,"25-26/2","Hata5")))))))),
IF(#REF!+BM338=2023,
IF(#REF!=1,"23-24/1",
IF(#REF!=2,"23-24/2",
IF(#REF!=3,"24-25/1",
IF(#REF!=4,"24-25/2",
IF(#REF!=5,"25-26/1",
IF(#REF!=6,"25-26/2",
IF(#REF!=7,"26-27/1",
IF(#REF!=8,"26-27/2","Hata6")))))))),
)))))),
IF(BE338="T",
IF(#REF!+BM338=2018,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IF(#REF!+BM338=2019,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IF(#REF!+BM338=2020,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IF(#REF!+BM338=2021,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IF(#REF!+BM338=2022,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IF(#REF!+BM338=2023,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8" s="26" t="s">
        <v>68</v>
      </c>
      <c r="J338" s="27">
        <v>4234788</v>
      </c>
      <c r="K338" s="26"/>
      <c r="L338" s="28">
        <v>629</v>
      </c>
      <c r="N338" s="28">
        <v>5</v>
      </c>
      <c r="O338" s="6">
        <f>(S338)+(R338/2)+(Q338)</f>
        <v>3</v>
      </c>
      <c r="P338" s="2">
        <f>Q338+R338+S338</f>
        <v>5</v>
      </c>
      <c r="Q338" s="2">
        <v>1</v>
      </c>
      <c r="R338" s="2">
        <v>4</v>
      </c>
      <c r="S338" s="2">
        <v>0</v>
      </c>
      <c r="T338"/>
      <c r="U338"/>
      <c r="X338" s="3">
        <v>3</v>
      </c>
      <c r="Y338" s="1">
        <f>VLOOKUP($X338,[5]ölçme_sistemleri!I$1:L$65536,2,FALSE)</f>
        <v>2</v>
      </c>
      <c r="Z338" s="1">
        <f>VLOOKUP($X338,[5]ölçme_sistemleri!I$1:L$65536,3,FALSE)</f>
        <v>1</v>
      </c>
      <c r="AA338" s="1">
        <f>VLOOKUP($X338,[5]ölçme_sistemleri!I$1:L$65536,4,FALSE)</f>
        <v>1</v>
      </c>
      <c r="AB338" s="1">
        <f>$O338*[5]ölçme_sistemleri!J$13</f>
        <v>3</v>
      </c>
      <c r="AC338" s="1">
        <f>$O338*[5]ölçme_sistemleri!K$13</f>
        <v>6</v>
      </c>
      <c r="AD338" s="1">
        <f>$O338*[5]ölçme_sistemleri!L$13</f>
        <v>9</v>
      </c>
      <c r="AE338" s="1">
        <f t="shared" ref="AE338:AG339" si="265">Y338*AB338</f>
        <v>6</v>
      </c>
      <c r="AF338" s="1">
        <f t="shared" si="265"/>
        <v>6</v>
      </c>
      <c r="AG338" s="1">
        <f t="shared" si="265"/>
        <v>9</v>
      </c>
      <c r="AH338" s="1">
        <f>SUM(AE338:AG338)</f>
        <v>21</v>
      </c>
      <c r="AI338" s="1">
        <v>14</v>
      </c>
      <c r="AJ338" s="1">
        <f>VLOOKUP(X338,[5]ölçme_sistemleri!I$1:M$65536,5,FALSE)</f>
        <v>3</v>
      </c>
      <c r="AK338" s="1">
        <f>SUM(AE338,AF338,AG338)*AI338</f>
        <v>294</v>
      </c>
      <c r="AL338" s="1">
        <f>AI338*1</f>
        <v>14</v>
      </c>
      <c r="AM338" s="1">
        <f>VLOOKUP(X338,[5]ölçme_sistemleri!I$1:N$65536,6,FALSE)</f>
        <v>4</v>
      </c>
      <c r="AN338" s="1">
        <v>2</v>
      </c>
      <c r="AO338" s="1">
        <f>AM338*AN338</f>
        <v>8</v>
      </c>
      <c r="AP338" s="1">
        <v>14</v>
      </c>
      <c r="AQ338" s="1">
        <f>AP338*P338</f>
        <v>70</v>
      </c>
      <c r="AR338" s="1">
        <f>AQ338+AO338+AL338+AE338+AF338+AG338</f>
        <v>113</v>
      </c>
      <c r="AS338" s="1">
        <f>IF(BE338="s",25,30)</f>
        <v>25</v>
      </c>
      <c r="AT338" s="1">
        <f>ROUND(AR338/AS338,0)</f>
        <v>5</v>
      </c>
      <c r="AU338" s="1">
        <f>ROUND(AT338-N338,0)</f>
        <v>0</v>
      </c>
      <c r="AV338" s="1" t="e">
        <f>IF(BE338="s",IF(#REF!=0,0,
IF(#REF!=1,N338*4*4,
IF(#REF!=2,0,
IF(#REF!=3,N338*4*2,
IF(#REF!=4,0,
IF(#REF!=5,0,
IF(#REF!=6,0,
IF(#REF!=7,0)))))))),
IF(BE338="t",
IF(#REF!=0,0,
IF(#REF!=1,N338*4*4*0.8,
IF(#REF!=2,0,
IF(#REF!=3,N338*4*2*0.8,
IF(#REF!=4,0,
IF(#REF!=5,0,
IF(#REF!=6,0,
IF(#REF!=7,0))))))))))</f>
        <v>#REF!</v>
      </c>
      <c r="AW338" s="1" t="e">
        <f>IF(BE338="s",
IF(#REF!=0,0,
IF(#REF!=1,0,
IF(#REF!=2,N338*4*2,
IF(#REF!=3,N338*4,
IF(#REF!=4,N338*4,
IF(#REF!=5,0,
IF(#REF!=6,0,
IF(#REF!=7,N338*4)))))))),
IF(BE338="t",
IF(#REF!=0,0,
IF(#REF!=1,0,
IF(#REF!=2,N338*4*2*0.8,
IF(#REF!=3,N338*4*0.8,
IF(#REF!=4,N338*4*0.8,
IF(#REF!=5,0,
IF(#REF!=6,0,
IF(#REF!=7,N338*4))))))))))</f>
        <v>#REF!</v>
      </c>
      <c r="AX338" s="1" t="e">
        <f>IF(BE338="s",
IF(#REF!=0,0,
IF(#REF!=1,N338*2,
IF(#REF!=2,N338*2,
IF(#REF!=3,N338*2,
IF(#REF!=4,N338*2,
IF(#REF!=5,N338*2,
IF(#REF!=6,N338*2,
IF(#REF!=7,N338*2)))))))),
IF(BE338="t",
IF(#REF!=0,O338*2*0.8,
IF(#REF!=1,N338*2*0.8,
IF(#REF!=2,N338*2*0.8,
IF(#REF!=3,N338*2*0.8,
IF(#REF!=4,N338*2*0.8,
IF(#REF!=5,N338*2*0.8,
IF(#REF!=6,N338*1*0.8,
IF(#REF!=7,N338*2))))))))))</f>
        <v>#REF!</v>
      </c>
      <c r="AY338" s="1" t="e">
        <f>SUM(AV338:AX338)-SUM(AD338:AF338)</f>
        <v>#REF!</v>
      </c>
      <c r="AZ338" s="1" t="e">
        <f>IF(BE338="s",
IF(#REF!=0,0,
IF(#REF!=1,(14-2)*(P338+R338)/4*4,
IF(#REF!=2,(14-2)*(P338+R338)/4*2,
IF(#REF!=3,(14-2)*(P338+R338)/4*3,
IF(#REF!=4,(14-2)*(P338+R338)/4,
IF(#REF!=5,(14-2)*N338/4,
IF(#REF!=6,0,
IF(#REF!=7,(14)*R338)))))))),
IF(BE338="t",
IF(#REF!=0,0,
IF(#REF!=1,(11-2)*(P338+R338)/4*4,
IF(#REF!=2,(11-2)*(P338+R338)/4*2,
IF(#REF!=3,(11-2)*(P338+R338)/4*3,
IF(#REF!=4,(11-2)*(P338+R338)/4,
IF(#REF!=5,(11-2)*N338/4,
IF(#REF!=6,0,
IF(#REF!=7,(11)*N338))))))))))</f>
        <v>#REF!</v>
      </c>
      <c r="BA338" s="1" t="e">
        <f>AZ338-AL338</f>
        <v>#REF!</v>
      </c>
      <c r="BB338" s="1" t="e">
        <f>IF(BE338="s",
IF(#REF!=0,0,
IF(#REF!=1,4*5,
IF(#REF!=2,4*3,
IF(#REF!=3,4*4,
IF(#REF!=4,4*2,
IF(#REF!=5,4,
IF(#REF!=6,4/2,
IF(#REF!=7,4*2,)))))))),
IF(BE338="t",
IF(#REF!=0,0,
IF(#REF!=1,4*5,
IF(#REF!=2,4*3,
IF(#REF!=3,4*4,
IF(#REF!=4,4*2,
IF(#REF!=5,4,
IF(#REF!=6,4/2,
IF(#REF!=7,4*2))))))))))</f>
        <v>#REF!</v>
      </c>
      <c r="BC338" s="1" t="e">
        <f>BB338-AO338</f>
        <v>#REF!</v>
      </c>
      <c r="BD338" s="1" t="e">
        <f>AV338+AW338+AX338+(IF(BK338=1,(AZ338)*2,AZ338))+BB338</f>
        <v>#REF!</v>
      </c>
      <c r="BE338" s="1" t="s">
        <v>65</v>
      </c>
      <c r="BF338" s="1">
        <f>IF(BL338="A",0,IF(BE338="s",14*O338,IF(BE338="T",11*O338,"HATA")))</f>
        <v>42</v>
      </c>
      <c r="BG338" s="1" t="e">
        <f>IF(BL338="Z",(BF338+BD338)*1.15,(BF338+BD338))</f>
        <v>#REF!</v>
      </c>
      <c r="BH338" s="1" t="e">
        <f>IF(BE338="s",ROUND(BG338/30,0),IF(BE338="T",ROUND(BG338/25,0),"HATA"))</f>
        <v>#REF!</v>
      </c>
      <c r="BI338" s="1" t="e">
        <f>IF(BH338-#REF!=0,"DOĞRU","YANLIŞ")</f>
        <v>#REF!</v>
      </c>
      <c r="BJ338" s="1" t="e">
        <f>#REF!-BH338</f>
        <v>#REF!</v>
      </c>
      <c r="BK338" s="1">
        <v>0</v>
      </c>
      <c r="BM338" s="1">
        <v>0</v>
      </c>
      <c r="BO338" s="1">
        <v>4</v>
      </c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L338" s="11"/>
      <c r="CM338" s="11"/>
      <c r="CN338" s="11"/>
      <c r="CO338" s="11"/>
      <c r="CP338" s="11"/>
      <c r="CQ338" s="54"/>
      <c r="CR338" s="46"/>
      <c r="CS338" s="48"/>
      <c r="CT338" s="48"/>
      <c r="CU338" s="48"/>
      <c r="CV338" s="48"/>
      <c r="CW338" s="49"/>
      <c r="CX338" s="49"/>
    </row>
    <row r="339" spans="1:104" hidden="1" x14ac:dyDescent="0.25">
      <c r="A339" s="26" t="s">
        <v>475</v>
      </c>
      <c r="B339" s="39" t="s">
        <v>476</v>
      </c>
      <c r="C339" t="s">
        <v>476</v>
      </c>
      <c r="D339" s="37" t="s">
        <v>63</v>
      </c>
      <c r="E339" s="37" t="s">
        <v>63</v>
      </c>
      <c r="F339" s="3" t="e">
        <f>IF(BE339="S",
IF(#REF!+BM339=2018,
IF(#REF!=1,"18-19/1",
IF(#REF!=2,"18-19/2",
IF(#REF!=3,"19-20/1",
IF(#REF!=4,"19-20/2",
IF(#REF!=5,"20-21/1",
IF(#REF!=6,"20-21/2",
IF(#REF!=7,"21-22/1",
IF(#REF!=8,"21-22/2","Hata1")))))))),
IF(#REF!+BM339=2019,
IF(#REF!=1,"19-20/1",
IF(#REF!=2,"19-20/2",
IF(#REF!=3,"20-21/1",
IF(#REF!=4,"20-21/2",
IF(#REF!=5,"21-22/1",
IF(#REF!=6,"21-22/2",
IF(#REF!=7,"22-23/1",
IF(#REF!=8,"22-23/2","Hata2")))))))),
IF(#REF!+BM339=2020,
IF(#REF!=1,"20-21/1",
IF(#REF!=2,"20-21/2",
IF(#REF!=3,"21-22/1",
IF(#REF!=4,"21-22/2",
IF(#REF!=5,"22-23/1",
IF(#REF!=6,"22-23/2",
IF(#REF!=7,"23-24/1",
IF(#REF!=8,"23-24/2","Hata3")))))))),
IF(#REF!+BM339=2021,
IF(#REF!=1,"21-22/1",
IF(#REF!=2,"21-22/2",
IF(#REF!=3,"22-23/1",
IF(#REF!=4,"22-23/2",
IF(#REF!=5,"23-24/1",
IF(#REF!=6,"23-24/2",
IF(#REF!=7,"24-25/1",
IF(#REF!=8,"24-25/2","Hata4")))))))),
IF(#REF!+BM339=2022,
IF(#REF!=1,"22-23/1",
IF(#REF!=2,"22-23/2",
IF(#REF!=3,"23-24/1",
IF(#REF!=4,"23-24/2",
IF(#REF!=5,"24-25/1",
IF(#REF!=6,"24-25/2",
IF(#REF!=7,"25-26/1",
IF(#REF!=8,"25-26/2","Hata5")))))))),
IF(#REF!+BM339=2023,
IF(#REF!=1,"23-24/1",
IF(#REF!=2,"23-24/2",
IF(#REF!=3,"24-25/1",
IF(#REF!=4,"24-25/2",
IF(#REF!=5,"25-26/1",
IF(#REF!=6,"25-26/2",
IF(#REF!=7,"26-27/1",
IF(#REF!=8,"26-27/2","Hata6")))))))),
)))))),
IF(BE339="T",
IF(#REF!+BM339=2018,
IF(#REF!=1,"18-19/1",
IF(#REF!=2,"18-19/2",
IF(#REF!=3,"18-19/3",
IF(#REF!=4,"19-20/1",
IF(#REF!=5,"19-20/2",
IF(#REF!=6,"19-20/3",
IF(#REF!=7,"20-21/1",
IF(#REF!=8,"20-21/2",
IF(#REF!=9,"20-21/3",
IF(#REF!=10,"21-22/1",
IF(#REF!=11,"21-22/2",
IF(#REF!=12,"21-22/3","Hata7")))))))))))),
IF(#REF!+BM339=2019,
IF(#REF!=1,"19-20/1",
IF(#REF!=2,"19-20/2",
IF(#REF!=3,"19-20/3",
IF(#REF!=4,"20-21/1",
IF(#REF!=5,"20-21/2",
IF(#REF!=6,"20-21/3",
IF(#REF!=7,"21-22/1",
IF(#REF!=8,"21-22/2",
IF(#REF!=9,"21-22/3",
IF(#REF!=10,"22-23/1",
IF(#REF!=11,"22-23/2",
IF(#REF!=12,"22-23/3","Hata8")))))))))))),
IF(#REF!+BM339=2020,
IF(#REF!=1,"20-21/1",
IF(#REF!=2,"20-21/2",
IF(#REF!=3,"20-21/3",
IF(#REF!=4,"21-22/1",
IF(#REF!=5,"21-22/2",
IF(#REF!=6,"21-22/3",
IF(#REF!=7,"22-23/1",
IF(#REF!=8,"22-23/2",
IF(#REF!=9,"22-23/3",
IF(#REF!=10,"23-24/1",
IF(#REF!=11,"23-24/2",
IF(#REF!=12,"23-24/3","Hata9")))))))))))),
IF(#REF!+BM339=2021,
IF(#REF!=1,"21-22/1",
IF(#REF!=2,"21-22/2",
IF(#REF!=3,"21-22/3",
IF(#REF!=4,"22-23/1",
IF(#REF!=5,"22-23/2",
IF(#REF!=6,"22-23/3",
IF(#REF!=7,"23-24/1",
IF(#REF!=8,"23-24/2",
IF(#REF!=9,"23-24/3",
IF(#REF!=10,"24-25/1",
IF(#REF!=11,"24-25/2",
IF(#REF!=12,"24-25/3","Hata10")))))))))))),
IF(#REF!+BM339=2022,
IF(#REF!=1,"22-23/1",
IF(#REF!=2,"22-23/2",
IF(#REF!=3,"22-23/3",
IF(#REF!=4,"23-24/1",
IF(#REF!=5,"23-24/2",
IF(#REF!=6,"23-24/3",
IF(#REF!=7,"24-25/1",
IF(#REF!=8,"24-25/2",
IF(#REF!=9,"24-25/3",
IF(#REF!=10,"25-26/1",
IF(#REF!=11,"25-26/2",
IF(#REF!=12,"25-26/3","Hata11")))))))))))),
IF(#REF!+BM339=2023,
IF(#REF!=1,"23-24/1",
IF(#REF!=2,"23-24/2",
IF(#REF!=3,"23-24/3",
IF(#REF!=4,"24-25/1",
IF(#REF!=5,"24-25/2",
IF(#REF!=6,"24-25/3",
IF(#REF!=7,"25-26/1",
IF(#REF!=8,"25-26/2",
IF(#REF!=9,"25-26/3",
IF(#REF!=10,"26-27/1",
IF(#REF!=11,"26-27/2",
IF(#REF!=12,"26-27/3","Hata12")))))))))))),
))))))))</f>
        <v>#REF!</v>
      </c>
      <c r="I339" s="26" t="s">
        <v>68</v>
      </c>
      <c r="J339" s="26">
        <v>4234788</v>
      </c>
      <c r="K339" s="26"/>
      <c r="L339" s="2">
        <v>2794</v>
      </c>
      <c r="N339" s="2">
        <v>5</v>
      </c>
      <c r="O339" s="2">
        <f>(S339)+(R339/2)+(Q339)</f>
        <v>3</v>
      </c>
      <c r="P339" s="2">
        <f>Q339+R339+S339</f>
        <v>5</v>
      </c>
      <c r="Q339" s="2">
        <v>1</v>
      </c>
      <c r="R339" s="2">
        <v>4</v>
      </c>
      <c r="S339" s="2">
        <v>0</v>
      </c>
      <c r="T339"/>
      <c r="U339"/>
      <c r="X339" s="3">
        <v>3</v>
      </c>
      <c r="Y339" s="1">
        <f>VLOOKUP($X339,[5]ölçme_sistemleri!I$1:L$65536,2,FALSE)</f>
        <v>2</v>
      </c>
      <c r="Z339" s="40">
        <f>VLOOKUP($X339,[5]ölçme_sistemleri!I$1:L$65536,3,FALSE)</f>
        <v>1</v>
      </c>
      <c r="AA339" s="1">
        <f>VLOOKUP($X339,[5]ölçme_sistemleri!I$1:L$65536,4,FALSE)</f>
        <v>1</v>
      </c>
      <c r="AB339" s="1">
        <f>$O339*[5]ölçme_sistemleri!J$13</f>
        <v>3</v>
      </c>
      <c r="AC339" s="1">
        <f>$O339*[5]ölçme_sistemleri!K$13</f>
        <v>6</v>
      </c>
      <c r="AD339" s="1">
        <f>$O339*[5]ölçme_sistemleri!L$13</f>
        <v>9</v>
      </c>
      <c r="AE339" s="1">
        <f t="shared" si="265"/>
        <v>6</v>
      </c>
      <c r="AF339" s="1">
        <f t="shared" si="265"/>
        <v>6</v>
      </c>
      <c r="AG339" s="1">
        <f t="shared" si="265"/>
        <v>9</v>
      </c>
      <c r="AH339" s="1">
        <f>SUM(AE339:AG339)</f>
        <v>21</v>
      </c>
      <c r="AI339" s="1">
        <v>14</v>
      </c>
      <c r="AJ339" s="1">
        <f>VLOOKUP(X339,[5]ölçme_sistemleri!I$1:M$65536,5,FALSE)</f>
        <v>3</v>
      </c>
      <c r="AK339" s="1">
        <f>SUM(AE339,AF339,AG339)*AI339</f>
        <v>294</v>
      </c>
      <c r="AL339" s="1">
        <f>AI339*1</f>
        <v>14</v>
      </c>
      <c r="AM339" s="1">
        <f>VLOOKUP(X339,[5]ölçme_sistemleri!I$1:N$65536,6,FALSE)</f>
        <v>4</v>
      </c>
      <c r="AN339" s="1">
        <v>2</v>
      </c>
      <c r="AO339" s="1">
        <f>AM339*AN339</f>
        <v>8</v>
      </c>
      <c r="AP339" s="1">
        <v>14</v>
      </c>
      <c r="AQ339" s="1">
        <f>AP339*P339</f>
        <v>70</v>
      </c>
      <c r="AR339" s="1">
        <f>AQ339+AO339+AL339+AE339+AF339+AG339</f>
        <v>113</v>
      </c>
      <c r="AS339" s="1">
        <f>IF(BE339="s",25,30)</f>
        <v>25</v>
      </c>
      <c r="AT339" s="1">
        <f>ROUND(AR339/AS339,0)</f>
        <v>5</v>
      </c>
      <c r="AU339" s="1">
        <f>ROUND(AT339-N339,0)</f>
        <v>0</v>
      </c>
      <c r="AV339" s="1" t="e">
        <f>IF(BE339="s",IF(#REF!=0,0,
IF(#REF!=1,N339*4*4,
IF(#REF!=2,0,
IF(#REF!=3,N339*4*2,
IF(#REF!=4,0,
IF(#REF!=5,0,
IF(#REF!=6,0,
IF(#REF!=7,0)))))))),
IF(BE339="t",
IF(#REF!=0,0,
IF(#REF!=1,N339*4*4*0.8,
IF(#REF!=2,0,
IF(#REF!=3,N339*4*2*0.8,
IF(#REF!=4,0,
IF(#REF!=5,0,
IF(#REF!=6,0,
IF(#REF!=7,0))))))))))</f>
        <v>#REF!</v>
      </c>
      <c r="AW339" s="1" t="e">
        <f>IF(BE339="s",
IF(#REF!=0,0,
IF(#REF!=1,0,
IF(#REF!=2,N339*4*2,
IF(#REF!=3,N339*4,
IF(#REF!=4,N339*4,
IF(#REF!=5,0,
IF(#REF!=6,0,
IF(#REF!=7,N339*4)))))))),
IF(BE339="t",
IF(#REF!=0,0,
IF(#REF!=1,0,
IF(#REF!=2,N339*4*2*0.8,
IF(#REF!=3,N339*4*0.8,
IF(#REF!=4,N339*4*0.8,
IF(#REF!=5,0,
IF(#REF!=6,0,
IF(#REF!=7,N339*4))))))))))</f>
        <v>#REF!</v>
      </c>
      <c r="AX339" s="1" t="e">
        <f>IF(BE339="s",
IF(#REF!=0,0,
IF(#REF!=1,N339*2,
IF(#REF!=2,N339*2,
IF(#REF!=3,N339*2,
IF(#REF!=4,N339*2,
IF(#REF!=5,N339*2,
IF(#REF!=6,N339*2,
IF(#REF!=7,N339*2)))))))),
IF(BE339="t",
IF(#REF!=0,O339*2*0.8,
IF(#REF!=1,N339*2*0.8,
IF(#REF!=2,N339*2*0.8,
IF(#REF!=3,N339*2*0.8,
IF(#REF!=4,N339*2*0.8,
IF(#REF!=5,N339*2*0.8,
IF(#REF!=6,N339*1*0.8,
IF(#REF!=7,N339*2))))))))))</f>
        <v>#REF!</v>
      </c>
      <c r="AY339" s="1" t="e">
        <f>SUM(AV339:AX339)-SUM(AD339:AF339)</f>
        <v>#REF!</v>
      </c>
      <c r="AZ339" s="1" t="e">
        <f>IF(BE339="s",
IF(#REF!=0,0,
IF(#REF!=1,(14-2)*(P339+R339)/4*4,
IF(#REF!=2,(14-2)*(P339+R339)/4*2,
IF(#REF!=3,(14-2)*(P339+R339)/4*3,
IF(#REF!=4,(14-2)*(P339+R339)/4,
IF(#REF!=5,(14-2)*N339/4,
IF(#REF!=6,0,
IF(#REF!=7,(14)*R339)))))))),
IF(BE339="t",
IF(#REF!=0,0,
IF(#REF!=1,(11-2)*(P339+R339)/4*4,
IF(#REF!=2,(11-2)*(P339+R339)/4*2,
IF(#REF!=3,(11-2)*(P339+R339)/4*3,
IF(#REF!=4,(11-2)*(P339+R339)/4,
IF(#REF!=5,(11-2)*N339/4,
IF(#REF!=6,0,
IF(#REF!=7,(11)*N339))))))))))</f>
        <v>#REF!</v>
      </c>
      <c r="BA339" s="1" t="e">
        <f>AZ339-AL339</f>
        <v>#REF!</v>
      </c>
      <c r="BB339" s="1" t="e">
        <f>IF(BE339="s",
IF(#REF!=0,0,
IF(#REF!=1,4*5,
IF(#REF!=2,4*3,
IF(#REF!=3,4*4,
IF(#REF!=4,4*2,
IF(#REF!=5,4,
IF(#REF!=6,4/2,
IF(#REF!=7,4*2,)))))))),
IF(BE339="t",
IF(#REF!=0,0,
IF(#REF!=1,4*5,
IF(#REF!=2,4*3,
IF(#REF!=3,4*4,
IF(#REF!=4,4*2,
IF(#REF!=5,4,
IF(#REF!=6,4/2,
IF(#REF!=7,4*2))))))))))</f>
        <v>#REF!</v>
      </c>
      <c r="BC339" s="1" t="e">
        <f>BB339-AO339</f>
        <v>#REF!</v>
      </c>
      <c r="BD339" s="1" t="e">
        <f>AV339+AW339+AX339+(IF(BK339=1,(AZ339)*2,AZ339))+BB339</f>
        <v>#REF!</v>
      </c>
      <c r="BE339" s="1" t="s">
        <v>65</v>
      </c>
      <c r="BF339" s="1">
        <f>IF(BM339="A",0,IF(BE339="s",14*O339,IF(BE339="T",11*O339,"HATA")))</f>
        <v>42</v>
      </c>
      <c r="BG339" s="1" t="e">
        <f>IF(BM339="Z",(BF339+BD339)*1.15,(BF339+BD339))</f>
        <v>#REF!</v>
      </c>
      <c r="BH339" s="1" t="e">
        <f>IF(BE339="s",ROUND(BG339/30,0),IF(BE339="T",ROUND(BG339/25,0),"HATA"))</f>
        <v>#REF!</v>
      </c>
      <c r="BI339" s="1" t="e">
        <f>IF(BH339-#REF!=0,"DOĞRU","YANLIŞ")</f>
        <v>#REF!</v>
      </c>
      <c r="BJ339" s="1" t="e">
        <f>#REF!-BH339</f>
        <v>#REF!</v>
      </c>
      <c r="BK339" s="1">
        <v>0</v>
      </c>
      <c r="BM339" s="1">
        <v>0</v>
      </c>
      <c r="BO339" s="1">
        <v>4</v>
      </c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L339" s="11"/>
      <c r="CM339" s="11"/>
      <c r="CN339" s="11"/>
      <c r="CO339" s="11"/>
      <c r="CP339" s="11"/>
      <c r="CQ339" s="46"/>
      <c r="CR339" s="46"/>
      <c r="CS339" s="48"/>
      <c r="CT339" s="48"/>
      <c r="CU339" s="48"/>
      <c r="CV339" s="48"/>
      <c r="CW339" s="49"/>
      <c r="CX339" s="49"/>
    </row>
    <row r="340" spans="1:104" x14ac:dyDescent="0.25">
      <c r="A340" s="112" t="s">
        <v>533</v>
      </c>
      <c r="B340" s="112" t="s">
        <v>134</v>
      </c>
      <c r="I340" s="112" t="s">
        <v>73</v>
      </c>
      <c r="N340" s="113"/>
      <c r="O340" s="104"/>
      <c r="X340" s="106">
        <v>2</v>
      </c>
      <c r="CL340" s="114"/>
      <c r="CM340" s="114"/>
      <c r="CN340" s="114"/>
      <c r="CO340" s="114"/>
      <c r="CP340" s="114" t="s">
        <v>442</v>
      </c>
      <c r="CQ340" s="111">
        <v>44324</v>
      </c>
      <c r="CR340" s="114" t="s">
        <v>529</v>
      </c>
      <c r="CS340" s="93">
        <v>44338</v>
      </c>
      <c r="CT340" s="91" t="s">
        <v>529</v>
      </c>
      <c r="CU340" s="48"/>
      <c r="CV340" s="68"/>
      <c r="CW340" s="69"/>
      <c r="CX340" s="69"/>
      <c r="CY340" s="7"/>
      <c r="CZ340" s="7"/>
    </row>
    <row r="341" spans="1:104" x14ac:dyDescent="0.25">
      <c r="A341" s="112" t="s">
        <v>533</v>
      </c>
      <c r="B341" s="112" t="s">
        <v>134</v>
      </c>
      <c r="I341" s="112" t="s">
        <v>59</v>
      </c>
      <c r="N341" s="113"/>
      <c r="O341" s="104"/>
      <c r="X341" s="106">
        <v>2</v>
      </c>
      <c r="CL341" s="114"/>
      <c r="CM341" s="114"/>
      <c r="CN341" s="114"/>
      <c r="CO341" s="114"/>
      <c r="CP341" s="114" t="s">
        <v>442</v>
      </c>
      <c r="CQ341" s="111">
        <v>44324</v>
      </c>
      <c r="CR341" s="114" t="s">
        <v>529</v>
      </c>
      <c r="CS341" s="93">
        <v>44338</v>
      </c>
      <c r="CT341" s="91" t="s">
        <v>529</v>
      </c>
      <c r="CU341" s="48"/>
      <c r="CV341" s="68"/>
      <c r="CW341" s="69"/>
      <c r="CX341" s="69"/>
      <c r="CY341" s="7"/>
      <c r="CZ341" s="7"/>
    </row>
    <row r="342" spans="1:104" x14ac:dyDescent="0.25">
      <c r="A342" s="112" t="s">
        <v>533</v>
      </c>
      <c r="B342" s="112" t="s">
        <v>134</v>
      </c>
      <c r="I342" s="112" t="s">
        <v>59</v>
      </c>
      <c r="N342" s="113"/>
      <c r="O342" s="104"/>
      <c r="X342" s="106">
        <v>2</v>
      </c>
      <c r="CL342" s="114"/>
      <c r="CM342" s="114"/>
      <c r="CN342" s="114"/>
      <c r="CO342" s="114"/>
      <c r="CP342" s="114" t="s">
        <v>442</v>
      </c>
      <c r="CQ342" s="111">
        <v>44324</v>
      </c>
      <c r="CR342" s="114" t="s">
        <v>529</v>
      </c>
      <c r="CS342" s="93">
        <v>44338</v>
      </c>
      <c r="CT342" s="91" t="s">
        <v>529</v>
      </c>
      <c r="CU342" s="48"/>
      <c r="CV342" s="68"/>
      <c r="CW342" s="69"/>
      <c r="CX342" s="69"/>
      <c r="CY342" s="7"/>
      <c r="CZ342" s="7"/>
    </row>
    <row r="343" spans="1:104" x14ac:dyDescent="0.25">
      <c r="A343" s="112" t="s">
        <v>533</v>
      </c>
      <c r="B343" s="112" t="s">
        <v>134</v>
      </c>
      <c r="I343" s="112" t="s">
        <v>78</v>
      </c>
      <c r="N343" s="113"/>
      <c r="O343" s="104"/>
      <c r="X343" s="106">
        <v>2</v>
      </c>
      <c r="CL343" s="114"/>
      <c r="CM343" s="114"/>
      <c r="CN343" s="114"/>
      <c r="CO343" s="114"/>
      <c r="CP343" s="114" t="s">
        <v>442</v>
      </c>
      <c r="CQ343" s="111">
        <v>44324</v>
      </c>
      <c r="CR343" s="114" t="s">
        <v>529</v>
      </c>
      <c r="CS343" s="93">
        <v>44338</v>
      </c>
      <c r="CT343" s="91" t="s">
        <v>529</v>
      </c>
      <c r="CU343" s="48"/>
      <c r="CV343" s="68"/>
      <c r="CW343" s="69"/>
      <c r="CX343" s="69"/>
      <c r="CY343" s="7"/>
      <c r="CZ343" s="7"/>
    </row>
    <row r="344" spans="1:104" x14ac:dyDescent="0.25">
      <c r="A344" s="112" t="s">
        <v>534</v>
      </c>
      <c r="B344" s="112" t="s">
        <v>134</v>
      </c>
      <c r="I344" s="112" t="s">
        <v>141</v>
      </c>
      <c r="N344" s="113"/>
      <c r="O344" s="104"/>
      <c r="X344" s="106">
        <v>2</v>
      </c>
      <c r="CL344" s="114"/>
      <c r="CM344" s="114"/>
      <c r="CN344" s="114"/>
      <c r="CO344" s="114"/>
      <c r="CP344" s="114" t="s">
        <v>442</v>
      </c>
      <c r="CQ344" s="111">
        <v>44324</v>
      </c>
      <c r="CR344" s="114" t="s">
        <v>529</v>
      </c>
      <c r="CS344" s="93">
        <v>44338</v>
      </c>
      <c r="CT344" s="91" t="s">
        <v>529</v>
      </c>
      <c r="CU344" s="48"/>
      <c r="CV344" s="68"/>
      <c r="CW344" s="69"/>
      <c r="CX344" s="69"/>
      <c r="CY344" s="7"/>
      <c r="CZ344" s="7"/>
    </row>
    <row r="345" spans="1:104" x14ac:dyDescent="0.25">
      <c r="A345" s="112" t="s">
        <v>534</v>
      </c>
      <c r="B345" s="112" t="s">
        <v>134</v>
      </c>
      <c r="I345" s="112" t="s">
        <v>141</v>
      </c>
      <c r="N345" s="113"/>
      <c r="O345" s="104"/>
      <c r="X345" s="106">
        <v>2</v>
      </c>
      <c r="CL345" s="114"/>
      <c r="CM345" s="114"/>
      <c r="CN345" s="114"/>
      <c r="CO345" s="114"/>
      <c r="CP345" s="114" t="s">
        <v>442</v>
      </c>
      <c r="CQ345" s="111">
        <v>44324</v>
      </c>
      <c r="CR345" s="114" t="s">
        <v>529</v>
      </c>
      <c r="CS345" s="93">
        <v>44338</v>
      </c>
      <c r="CT345" s="91" t="s">
        <v>529</v>
      </c>
      <c r="CU345" s="48"/>
      <c r="CV345" s="68"/>
      <c r="CW345" s="69"/>
      <c r="CX345" s="69"/>
      <c r="CY345" s="7"/>
      <c r="CZ345" s="7"/>
    </row>
    <row r="346" spans="1:104" x14ac:dyDescent="0.25">
      <c r="A346" s="92" t="s">
        <v>535</v>
      </c>
      <c r="B346" s="92" t="s">
        <v>143</v>
      </c>
      <c r="I346" s="92" t="s">
        <v>141</v>
      </c>
      <c r="N346" s="104"/>
      <c r="O346" s="104"/>
      <c r="X346" s="106">
        <v>2</v>
      </c>
      <c r="CL346" s="108"/>
      <c r="CM346" s="108"/>
      <c r="CN346" s="108"/>
      <c r="CO346" s="108"/>
      <c r="CP346" s="108" t="s">
        <v>442</v>
      </c>
      <c r="CQ346" s="84">
        <v>44324</v>
      </c>
      <c r="CR346" s="83" t="s">
        <v>529</v>
      </c>
      <c r="CS346" s="93">
        <v>44338</v>
      </c>
      <c r="CT346" s="91" t="s">
        <v>529</v>
      </c>
      <c r="CU346" s="48"/>
      <c r="CV346" s="68"/>
      <c r="CW346" s="69"/>
      <c r="CX346" s="69"/>
      <c r="CY346" s="7"/>
      <c r="CZ346" s="7"/>
    </row>
    <row r="347" spans="1:104" x14ac:dyDescent="0.25">
      <c r="CL347" s="67"/>
      <c r="CM347" s="67"/>
      <c r="CN347" s="67"/>
      <c r="CO347" s="67"/>
      <c r="CP347" s="67"/>
      <c r="CQ347" s="69"/>
      <c r="CR347" s="67"/>
      <c r="CS347" s="70"/>
      <c r="CT347" s="68"/>
      <c r="CU347" s="68"/>
      <c r="CV347" s="68"/>
      <c r="CW347" s="69"/>
      <c r="CX347" s="69"/>
      <c r="CY347" s="7"/>
      <c r="CZ347" s="7"/>
    </row>
    <row r="348" spans="1:104" x14ac:dyDescent="0.25">
      <c r="CL348" s="67"/>
      <c r="CM348" s="67"/>
      <c r="CN348" s="67"/>
      <c r="CO348" s="67"/>
      <c r="CP348" s="67"/>
      <c r="CQ348" s="69"/>
      <c r="CR348" s="67"/>
      <c r="CS348" s="69"/>
      <c r="CT348" s="68"/>
      <c r="CU348" s="68"/>
      <c r="CV348" s="68"/>
      <c r="CW348" s="69"/>
      <c r="CX348" s="69"/>
      <c r="CY348" s="7"/>
      <c r="CZ348" s="7"/>
    </row>
    <row r="349" spans="1:104" x14ac:dyDescent="0.25">
      <c r="CL349" s="67"/>
      <c r="CM349" s="67"/>
      <c r="CN349" s="67"/>
      <c r="CO349" s="67"/>
      <c r="CP349" s="67"/>
      <c r="CQ349" s="69"/>
      <c r="CR349" s="67"/>
      <c r="CS349" s="69"/>
      <c r="CT349" s="67"/>
      <c r="CU349" s="71"/>
      <c r="CV349" s="71"/>
      <c r="CW349" s="69"/>
      <c r="CX349" s="69"/>
      <c r="CY349" s="7"/>
      <c r="CZ349" s="7"/>
    </row>
    <row r="350" spans="1:104" x14ac:dyDescent="0.25">
      <c r="CL350" s="67"/>
      <c r="CM350" s="67"/>
      <c r="CN350" s="67"/>
      <c r="CO350" s="67"/>
      <c r="CP350" s="67"/>
      <c r="CQ350" s="69"/>
      <c r="CR350" s="67"/>
      <c r="CS350" s="71"/>
      <c r="CT350" s="71"/>
      <c r="CU350" s="71"/>
      <c r="CV350" s="71"/>
      <c r="CW350" s="69"/>
      <c r="CX350" s="69"/>
      <c r="CY350" s="7"/>
      <c r="CZ350" s="7"/>
    </row>
    <row r="351" spans="1:104" x14ac:dyDescent="0.25">
      <c r="CL351" s="67"/>
      <c r="CM351" s="67"/>
      <c r="CN351" s="67"/>
      <c r="CO351" s="67"/>
      <c r="CP351" s="67"/>
      <c r="CQ351" s="67"/>
      <c r="CR351" s="67"/>
      <c r="CS351" s="68"/>
      <c r="CT351" s="68"/>
      <c r="CU351" s="68"/>
      <c r="CV351" s="68"/>
      <c r="CW351" s="69"/>
      <c r="CX351" s="69"/>
      <c r="CY351" s="7"/>
      <c r="CZ351" s="7"/>
    </row>
    <row r="352" spans="1:104" x14ac:dyDescent="0.25">
      <c r="CL352" s="67"/>
      <c r="CM352" s="67"/>
      <c r="CN352" s="67"/>
      <c r="CO352" s="67"/>
      <c r="CP352" s="67"/>
      <c r="CQ352" s="70"/>
      <c r="CR352" s="67"/>
      <c r="CS352" s="68"/>
      <c r="CT352" s="68"/>
      <c r="CU352" s="68"/>
      <c r="CV352" s="68"/>
      <c r="CW352" s="69"/>
      <c r="CX352" s="69"/>
      <c r="CY352" s="7"/>
      <c r="CZ352" s="7"/>
    </row>
    <row r="353" spans="90:104" x14ac:dyDescent="0.25">
      <c r="CL353" s="67"/>
      <c r="CM353" s="67"/>
      <c r="CN353" s="67"/>
      <c r="CO353" s="67"/>
      <c r="CP353" s="67"/>
      <c r="CQ353" s="70"/>
      <c r="CR353" s="67"/>
      <c r="CS353" s="70"/>
      <c r="CT353" s="68"/>
      <c r="CU353" s="68"/>
      <c r="CV353" s="68"/>
      <c r="CW353" s="69"/>
      <c r="CX353" s="69"/>
      <c r="CY353" s="7"/>
      <c r="CZ353" s="7"/>
    </row>
    <row r="354" spans="90:104" x14ac:dyDescent="0.25">
      <c r="CL354" s="67"/>
      <c r="CM354" s="67"/>
      <c r="CN354" s="67"/>
      <c r="CO354" s="67"/>
      <c r="CP354" s="67"/>
      <c r="CQ354" s="69"/>
      <c r="CR354" s="67"/>
      <c r="CS354" s="68"/>
      <c r="CT354" s="68"/>
      <c r="CU354" s="68"/>
      <c r="CV354" s="68"/>
      <c r="CW354" s="69"/>
      <c r="CX354" s="69"/>
      <c r="CY354" s="7"/>
      <c r="CZ354" s="7"/>
    </row>
    <row r="355" spans="90:104" x14ac:dyDescent="0.25">
      <c r="CL355" s="67"/>
      <c r="CM355" s="67"/>
      <c r="CN355" s="67"/>
      <c r="CO355" s="67"/>
      <c r="CP355" s="67"/>
      <c r="CQ355" s="69"/>
      <c r="CR355" s="67"/>
      <c r="CS355" s="69"/>
      <c r="CT355" s="68"/>
      <c r="CU355" s="69"/>
      <c r="CV355" s="68"/>
      <c r="CW355" s="69"/>
      <c r="CX355" s="69"/>
      <c r="CY355" s="7"/>
      <c r="CZ355" s="7"/>
    </row>
    <row r="356" spans="90:104" x14ac:dyDescent="0.25">
      <c r="CL356" s="67"/>
      <c r="CM356" s="67"/>
      <c r="CN356" s="67"/>
      <c r="CO356" s="67"/>
      <c r="CP356" s="67"/>
      <c r="CQ356" s="69"/>
      <c r="CR356" s="67"/>
      <c r="CS356" s="69"/>
      <c r="CT356" s="69"/>
      <c r="CU356" s="69"/>
      <c r="CV356" s="69"/>
      <c r="CW356" s="69"/>
      <c r="CX356" s="69"/>
      <c r="CY356" s="7"/>
      <c r="CZ356" s="7"/>
    </row>
    <row r="357" spans="90:104" x14ac:dyDescent="0.25">
      <c r="CL357" s="67"/>
      <c r="CM357" s="67"/>
      <c r="CN357" s="67"/>
      <c r="CO357" s="67"/>
      <c r="CP357" s="67"/>
      <c r="CQ357" s="67"/>
      <c r="CR357" s="67"/>
      <c r="CS357" s="68"/>
      <c r="CT357" s="68"/>
      <c r="CU357" s="68"/>
      <c r="CV357" s="68"/>
      <c r="CW357" s="69"/>
      <c r="CX357" s="69"/>
      <c r="CY357" s="7"/>
      <c r="CZ357" s="7"/>
    </row>
    <row r="358" spans="90:104" x14ac:dyDescent="0.25">
      <c r="CL358" s="67"/>
      <c r="CM358" s="67"/>
      <c r="CN358" s="67"/>
      <c r="CO358" s="67"/>
      <c r="CP358" s="67"/>
      <c r="CQ358" s="70"/>
      <c r="CR358" s="67"/>
      <c r="CS358" s="70"/>
      <c r="CT358" s="68"/>
      <c r="CU358" s="68"/>
      <c r="CV358" s="68"/>
      <c r="CW358" s="69"/>
      <c r="CX358" s="69"/>
      <c r="CY358" s="7"/>
      <c r="CZ358" s="7"/>
    </row>
    <row r="359" spans="90:104" x14ac:dyDescent="0.25">
      <c r="CL359" s="67"/>
      <c r="CM359" s="67"/>
      <c r="CN359" s="67"/>
      <c r="CO359" s="67"/>
      <c r="CP359" s="67"/>
      <c r="CQ359" s="70"/>
      <c r="CR359" s="67"/>
      <c r="CS359" s="70"/>
      <c r="CT359" s="68"/>
      <c r="CU359" s="68"/>
      <c r="CV359" s="68"/>
      <c r="CW359" s="69"/>
      <c r="CX359" s="69"/>
      <c r="CY359" s="7"/>
      <c r="CZ359" s="7"/>
    </row>
    <row r="360" spans="90:104" x14ac:dyDescent="0.25">
      <c r="CL360" s="67"/>
      <c r="CM360" s="67"/>
      <c r="CN360" s="67"/>
      <c r="CO360" s="67"/>
      <c r="CP360" s="67"/>
      <c r="CQ360" s="70"/>
      <c r="CR360" s="67"/>
      <c r="CS360" s="70"/>
      <c r="CT360" s="68"/>
      <c r="CU360" s="68"/>
      <c r="CV360" s="68"/>
      <c r="CW360" s="69"/>
      <c r="CX360" s="69"/>
      <c r="CY360" s="7"/>
      <c r="CZ360" s="7"/>
    </row>
    <row r="361" spans="90:104" x14ac:dyDescent="0.25">
      <c r="CL361" s="67"/>
      <c r="CM361" s="67"/>
      <c r="CN361" s="67"/>
      <c r="CO361" s="67"/>
      <c r="CP361" s="67"/>
      <c r="CQ361" s="70"/>
      <c r="CR361" s="67"/>
      <c r="CS361" s="70"/>
      <c r="CT361" s="72"/>
      <c r="CU361" s="68"/>
      <c r="CV361" s="68"/>
      <c r="CW361" s="69"/>
      <c r="CX361" s="69"/>
      <c r="CY361" s="7"/>
      <c r="CZ361" s="7"/>
    </row>
    <row r="362" spans="90:104" x14ac:dyDescent="0.25">
      <c r="CL362" s="67"/>
      <c r="CM362" s="67"/>
      <c r="CN362" s="67"/>
      <c r="CO362" s="67"/>
      <c r="CP362" s="67"/>
      <c r="CQ362" s="69"/>
      <c r="CR362" s="67"/>
      <c r="CS362" s="70"/>
      <c r="CT362" s="68"/>
      <c r="CU362" s="68"/>
      <c r="CV362" s="68"/>
      <c r="CW362" s="69"/>
      <c r="CX362" s="69"/>
      <c r="CY362" s="7"/>
      <c r="CZ362" s="7"/>
    </row>
    <row r="363" spans="90:104" x14ac:dyDescent="0.25">
      <c r="CL363" s="67"/>
      <c r="CM363" s="67"/>
      <c r="CN363" s="67"/>
      <c r="CO363" s="67"/>
      <c r="CP363" s="67"/>
      <c r="CQ363" s="69"/>
      <c r="CR363" s="67"/>
      <c r="CS363" s="69"/>
      <c r="CT363" s="68"/>
      <c r="CU363" s="69"/>
      <c r="CV363" s="68"/>
      <c r="CW363" s="69"/>
      <c r="CX363" s="69"/>
      <c r="CY363" s="7"/>
      <c r="CZ363" s="7"/>
    </row>
    <row r="364" spans="90:104" x14ac:dyDescent="0.25">
      <c r="CL364" s="67"/>
      <c r="CM364" s="67"/>
      <c r="CN364" s="67"/>
      <c r="CO364" s="67"/>
      <c r="CP364" s="67"/>
      <c r="CQ364" s="69"/>
      <c r="CR364" s="67"/>
      <c r="CS364" s="69"/>
      <c r="CT364" s="69"/>
      <c r="CU364" s="69"/>
      <c r="CV364" s="68"/>
      <c r="CW364" s="69"/>
      <c r="CX364" s="69"/>
      <c r="CY364" s="7"/>
      <c r="CZ364" s="7"/>
    </row>
    <row r="365" spans="90:104" x14ac:dyDescent="0.25">
      <c r="CL365" s="67"/>
      <c r="CM365" s="67"/>
      <c r="CN365" s="67"/>
      <c r="CO365" s="67"/>
      <c r="CP365" s="67"/>
      <c r="CQ365" s="69"/>
      <c r="CR365" s="67"/>
      <c r="CS365" s="69"/>
      <c r="CT365" s="67"/>
      <c r="CU365" s="71"/>
      <c r="CV365" s="71"/>
      <c r="CW365" s="69"/>
      <c r="CX365" s="69"/>
      <c r="CY365" s="7"/>
      <c r="CZ365" s="7"/>
    </row>
    <row r="366" spans="90:104" x14ac:dyDescent="0.25">
      <c r="CL366" s="67"/>
      <c r="CM366" s="67"/>
      <c r="CN366" s="67"/>
      <c r="CO366" s="67"/>
      <c r="CP366" s="67"/>
      <c r="CQ366" s="69"/>
      <c r="CR366" s="67"/>
      <c r="CS366" s="71"/>
      <c r="CT366" s="71"/>
      <c r="CU366" s="71"/>
      <c r="CV366" s="71"/>
      <c r="CW366" s="69"/>
      <c r="CX366" s="69"/>
      <c r="CY366" s="7"/>
      <c r="CZ366" s="7"/>
    </row>
    <row r="367" spans="90:104" x14ac:dyDescent="0.25">
      <c r="CL367" s="67"/>
      <c r="CM367" s="67"/>
      <c r="CN367" s="67"/>
      <c r="CO367" s="67"/>
      <c r="CP367" s="67"/>
      <c r="CQ367" s="67"/>
      <c r="CR367" s="67"/>
      <c r="CS367" s="68"/>
      <c r="CT367" s="68"/>
      <c r="CU367" s="68"/>
      <c r="CV367" s="68"/>
      <c r="CW367" s="69"/>
      <c r="CX367" s="69"/>
      <c r="CY367" s="7"/>
      <c r="CZ367" s="7"/>
    </row>
    <row r="368" spans="90:104" x14ac:dyDescent="0.25">
      <c r="CL368" s="67"/>
      <c r="CM368" s="67"/>
      <c r="CN368" s="67"/>
      <c r="CO368" s="67"/>
      <c r="CP368" s="67"/>
      <c r="CQ368" s="70"/>
      <c r="CR368" s="67"/>
      <c r="CS368" s="68"/>
      <c r="CT368" s="68"/>
      <c r="CU368" s="68"/>
      <c r="CV368" s="68"/>
      <c r="CW368" s="69"/>
      <c r="CX368" s="69"/>
      <c r="CY368" s="7"/>
      <c r="CZ368" s="7"/>
    </row>
    <row r="369" spans="90:104" x14ac:dyDescent="0.25">
      <c r="CL369" s="67"/>
      <c r="CM369" s="67"/>
      <c r="CN369" s="67"/>
      <c r="CO369" s="67"/>
      <c r="CP369" s="67"/>
      <c r="CQ369" s="70"/>
      <c r="CR369" s="67"/>
      <c r="CS369" s="70"/>
      <c r="CT369" s="68"/>
      <c r="CU369" s="68"/>
      <c r="CV369" s="68"/>
      <c r="CW369" s="69"/>
      <c r="CX369" s="69"/>
      <c r="CY369" s="7"/>
      <c r="CZ369" s="7"/>
    </row>
    <row r="370" spans="90:104" x14ac:dyDescent="0.25">
      <c r="CL370" s="67"/>
      <c r="CM370" s="67"/>
      <c r="CN370" s="67"/>
      <c r="CO370" s="67"/>
      <c r="CP370" s="67"/>
      <c r="CQ370" s="69"/>
      <c r="CR370" s="67"/>
      <c r="CS370" s="68"/>
      <c r="CT370" s="68"/>
      <c r="CU370" s="68"/>
      <c r="CV370" s="68"/>
      <c r="CW370" s="69"/>
      <c r="CX370" s="69"/>
      <c r="CY370" s="7"/>
      <c r="CZ370" s="7"/>
    </row>
    <row r="371" spans="90:104" x14ac:dyDescent="0.25">
      <c r="CL371" s="67"/>
      <c r="CM371" s="67"/>
      <c r="CN371" s="67"/>
      <c r="CO371" s="67"/>
      <c r="CP371" s="67"/>
      <c r="CQ371" s="69"/>
      <c r="CR371" s="67"/>
      <c r="CS371" s="69"/>
      <c r="CT371" s="68"/>
      <c r="CU371" s="69"/>
      <c r="CV371" s="68"/>
      <c r="CW371" s="69"/>
      <c r="CX371" s="69"/>
      <c r="CY371" s="7"/>
      <c r="CZ371" s="7"/>
    </row>
    <row r="372" spans="90:104" x14ac:dyDescent="0.25">
      <c r="CL372" s="67"/>
      <c r="CM372" s="67"/>
      <c r="CN372" s="67"/>
      <c r="CO372" s="67"/>
      <c r="CP372" s="67"/>
      <c r="CQ372" s="67"/>
      <c r="CR372" s="67"/>
      <c r="CS372" s="68"/>
      <c r="CT372" s="68"/>
      <c r="CU372" s="68"/>
      <c r="CV372" s="68"/>
      <c r="CW372" s="69"/>
      <c r="CX372" s="69"/>
      <c r="CY372" s="7"/>
      <c r="CZ372" s="7"/>
    </row>
    <row r="373" spans="90:104" x14ac:dyDescent="0.25">
      <c r="CL373" s="67"/>
      <c r="CM373" s="67"/>
      <c r="CN373" s="67"/>
      <c r="CO373" s="67"/>
      <c r="CP373" s="67"/>
      <c r="CQ373" s="70"/>
      <c r="CR373" s="67"/>
      <c r="CS373" s="70"/>
      <c r="CT373" s="68"/>
      <c r="CU373" s="68"/>
      <c r="CV373" s="68"/>
      <c r="CW373" s="69"/>
      <c r="CX373" s="69"/>
      <c r="CY373" s="7"/>
      <c r="CZ373" s="7"/>
    </row>
    <row r="374" spans="90:104" x14ac:dyDescent="0.25">
      <c r="CL374" s="67"/>
      <c r="CM374" s="67"/>
      <c r="CN374" s="67"/>
      <c r="CO374" s="67"/>
      <c r="CP374" s="67"/>
      <c r="CQ374" s="70"/>
      <c r="CR374" s="67"/>
      <c r="CS374" s="70"/>
      <c r="CT374" s="68"/>
      <c r="CU374" s="68"/>
      <c r="CV374" s="68"/>
      <c r="CW374" s="69"/>
      <c r="CX374" s="69"/>
      <c r="CY374" s="7"/>
      <c r="CZ374" s="7"/>
    </row>
    <row r="375" spans="90:104" x14ac:dyDescent="0.25">
      <c r="CL375" s="67"/>
      <c r="CM375" s="67"/>
      <c r="CN375" s="67"/>
      <c r="CO375" s="67"/>
      <c r="CP375" s="67"/>
      <c r="CQ375" s="70"/>
      <c r="CR375" s="67"/>
      <c r="CS375" s="70"/>
      <c r="CT375" s="68"/>
      <c r="CU375" s="68"/>
      <c r="CV375" s="68"/>
      <c r="CW375" s="69"/>
      <c r="CX375" s="69"/>
      <c r="CY375" s="7"/>
      <c r="CZ375" s="7"/>
    </row>
    <row r="376" spans="90:104" x14ac:dyDescent="0.25">
      <c r="CL376" s="67"/>
      <c r="CM376" s="67"/>
      <c r="CN376" s="67"/>
      <c r="CO376" s="67"/>
      <c r="CP376" s="67"/>
      <c r="CQ376" s="70"/>
      <c r="CR376" s="67"/>
      <c r="CS376" s="70"/>
      <c r="CT376" s="72"/>
      <c r="CU376" s="68"/>
      <c r="CV376" s="68"/>
      <c r="CW376" s="69"/>
      <c r="CX376" s="69"/>
      <c r="CY376" s="7"/>
      <c r="CZ376" s="7"/>
    </row>
    <row r="377" spans="90:104" x14ac:dyDescent="0.25">
      <c r="CL377" s="67"/>
      <c r="CM377" s="67"/>
      <c r="CN377" s="67"/>
      <c r="CO377" s="67"/>
      <c r="CP377" s="67"/>
      <c r="CQ377" s="70"/>
      <c r="CR377" s="67"/>
      <c r="CS377" s="70"/>
      <c r="CT377" s="68"/>
      <c r="CU377" s="68"/>
      <c r="CV377" s="68"/>
      <c r="CW377" s="69"/>
      <c r="CX377" s="69"/>
      <c r="CY377" s="7"/>
      <c r="CZ377" s="7"/>
    </row>
    <row r="378" spans="90:104" x14ac:dyDescent="0.25">
      <c r="CL378" s="67"/>
      <c r="CM378" s="67"/>
      <c r="CN378" s="67"/>
      <c r="CO378" s="67"/>
      <c r="CP378" s="67"/>
      <c r="CQ378" s="69"/>
      <c r="CR378" s="67"/>
      <c r="CS378" s="69"/>
      <c r="CT378" s="68"/>
      <c r="CU378" s="69"/>
      <c r="CV378" s="68"/>
      <c r="CW378" s="69"/>
      <c r="CX378" s="69"/>
      <c r="CY378" s="7"/>
      <c r="CZ378" s="7"/>
    </row>
    <row r="379" spans="90:104" x14ac:dyDescent="0.25">
      <c r="CL379" s="67"/>
      <c r="CM379" s="67"/>
      <c r="CN379" s="67"/>
      <c r="CO379" s="67"/>
      <c r="CP379" s="67"/>
      <c r="CQ379" s="69"/>
      <c r="CR379" s="67"/>
      <c r="CS379" s="69"/>
      <c r="CT379" s="69"/>
      <c r="CU379" s="69"/>
      <c r="CV379" s="68"/>
      <c r="CW379" s="69"/>
      <c r="CX379" s="69"/>
      <c r="CY379" s="7"/>
      <c r="CZ379" s="7"/>
    </row>
    <row r="380" spans="90:104" x14ac:dyDescent="0.25">
      <c r="CL380" s="67"/>
      <c r="CM380" s="67"/>
      <c r="CN380" s="67"/>
      <c r="CO380" s="67"/>
      <c r="CP380" s="67"/>
      <c r="CQ380" s="69"/>
      <c r="CR380" s="67"/>
      <c r="CS380" s="71"/>
      <c r="CT380" s="71"/>
      <c r="CU380" s="71"/>
      <c r="CV380" s="71"/>
      <c r="CW380" s="69"/>
      <c r="CX380" s="69"/>
      <c r="CY380" s="7"/>
      <c r="CZ380" s="7"/>
    </row>
    <row r="381" spans="90:104" x14ac:dyDescent="0.25">
      <c r="CL381" s="67"/>
      <c r="CM381" s="67"/>
      <c r="CN381" s="67"/>
      <c r="CO381" s="67"/>
      <c r="CP381" s="67"/>
      <c r="CQ381" s="67"/>
      <c r="CR381" s="67"/>
      <c r="CS381" s="68"/>
      <c r="CT381" s="68"/>
      <c r="CU381" s="68"/>
      <c r="CV381" s="68"/>
      <c r="CW381" s="69"/>
      <c r="CX381" s="69"/>
      <c r="CY381" s="7"/>
      <c r="CZ381" s="7"/>
    </row>
    <row r="382" spans="90:104" x14ac:dyDescent="0.25">
      <c r="CL382" s="67"/>
      <c r="CM382" s="67"/>
      <c r="CN382" s="67"/>
      <c r="CO382" s="67"/>
      <c r="CP382" s="67"/>
      <c r="CQ382" s="70"/>
      <c r="CR382" s="67"/>
      <c r="CS382" s="68"/>
      <c r="CT382" s="68"/>
      <c r="CU382" s="68"/>
      <c r="CV382" s="68"/>
      <c r="CW382" s="69"/>
      <c r="CX382" s="69"/>
      <c r="CY382" s="7"/>
      <c r="CZ382" s="7"/>
    </row>
    <row r="383" spans="90:104" x14ac:dyDescent="0.25">
      <c r="CL383" s="67"/>
      <c r="CM383" s="67"/>
      <c r="CN383" s="67"/>
      <c r="CO383" s="67"/>
      <c r="CP383" s="67"/>
      <c r="CQ383" s="70"/>
      <c r="CR383" s="67"/>
      <c r="CS383" s="70"/>
      <c r="CT383" s="68"/>
      <c r="CU383" s="68"/>
      <c r="CV383" s="68"/>
      <c r="CW383" s="69"/>
      <c r="CX383" s="69"/>
      <c r="CY383" s="7"/>
      <c r="CZ383" s="7"/>
    </row>
    <row r="384" spans="90:104" x14ac:dyDescent="0.25">
      <c r="CL384" s="67"/>
      <c r="CM384" s="67"/>
      <c r="CN384" s="67"/>
      <c r="CO384" s="67"/>
      <c r="CP384" s="67"/>
      <c r="CQ384" s="69"/>
      <c r="CR384" s="67"/>
      <c r="CS384" s="68"/>
      <c r="CT384" s="68"/>
      <c r="CU384" s="68"/>
      <c r="CV384" s="68"/>
      <c r="CW384" s="69"/>
      <c r="CX384" s="69"/>
      <c r="CY384" s="7"/>
      <c r="CZ384" s="7"/>
    </row>
    <row r="385" spans="90:104" x14ac:dyDescent="0.25">
      <c r="CL385" s="67"/>
      <c r="CM385" s="67"/>
      <c r="CN385" s="67"/>
      <c r="CO385" s="67"/>
      <c r="CP385" s="67"/>
      <c r="CQ385" s="69"/>
      <c r="CR385" s="67"/>
      <c r="CS385" s="69"/>
      <c r="CT385" s="68"/>
      <c r="CU385" s="68"/>
      <c r="CV385" s="68"/>
      <c r="CW385" s="69"/>
      <c r="CX385" s="69"/>
      <c r="CY385" s="7"/>
      <c r="CZ385" s="7"/>
    </row>
    <row r="386" spans="90:104" x14ac:dyDescent="0.25">
      <c r="CL386" s="67"/>
      <c r="CM386" s="67"/>
      <c r="CN386" s="67"/>
      <c r="CO386" s="67"/>
      <c r="CP386" s="67"/>
      <c r="CQ386" s="69"/>
      <c r="CR386" s="67"/>
      <c r="CS386" s="68"/>
      <c r="CT386" s="68"/>
      <c r="CU386" s="68"/>
      <c r="CV386" s="68"/>
      <c r="CW386" s="69"/>
      <c r="CX386" s="69"/>
      <c r="CY386" s="7"/>
      <c r="CZ386" s="7"/>
    </row>
    <row r="387" spans="90:104" x14ac:dyDescent="0.25">
      <c r="CL387" s="67"/>
      <c r="CM387" s="67"/>
      <c r="CN387" s="67"/>
      <c r="CO387" s="67"/>
      <c r="CP387" s="67"/>
      <c r="CQ387" s="69"/>
      <c r="CR387" s="67"/>
      <c r="CS387" s="69"/>
      <c r="CT387" s="68"/>
      <c r="CU387" s="69"/>
      <c r="CV387" s="68"/>
      <c r="CW387" s="69"/>
      <c r="CX387" s="69"/>
      <c r="CY387" s="7"/>
      <c r="CZ387" s="7"/>
    </row>
    <row r="388" spans="90:104" x14ac:dyDescent="0.25">
      <c r="CL388" s="67"/>
      <c r="CM388" s="67"/>
      <c r="CN388" s="67"/>
      <c r="CO388" s="67"/>
      <c r="CP388" s="67"/>
      <c r="CQ388" s="67"/>
      <c r="CR388" s="67"/>
      <c r="CS388" s="68"/>
      <c r="CT388" s="68"/>
      <c r="CU388" s="68"/>
      <c r="CV388" s="68"/>
      <c r="CW388" s="69"/>
      <c r="CX388" s="69"/>
      <c r="CY388" s="7"/>
      <c r="CZ388" s="7"/>
    </row>
    <row r="389" spans="90:104" x14ac:dyDescent="0.25">
      <c r="CL389" s="67"/>
      <c r="CM389" s="67"/>
      <c r="CN389" s="67"/>
      <c r="CO389" s="67"/>
      <c r="CP389" s="67"/>
      <c r="CQ389" s="70"/>
      <c r="CR389" s="67"/>
      <c r="CS389" s="70"/>
      <c r="CT389" s="68"/>
      <c r="CU389" s="68"/>
      <c r="CV389" s="68"/>
      <c r="CW389" s="69"/>
      <c r="CX389" s="69"/>
      <c r="CY389" s="7"/>
      <c r="CZ389" s="7"/>
    </row>
    <row r="390" spans="90:104" x14ac:dyDescent="0.25">
      <c r="CL390" s="67"/>
      <c r="CM390" s="67"/>
      <c r="CN390" s="67"/>
      <c r="CO390" s="67"/>
      <c r="CP390" s="67"/>
      <c r="CQ390" s="70"/>
      <c r="CR390" s="67"/>
      <c r="CS390" s="70"/>
      <c r="CT390" s="68"/>
      <c r="CU390" s="68"/>
      <c r="CV390" s="68"/>
      <c r="CW390" s="69"/>
      <c r="CX390" s="69"/>
      <c r="CY390" s="7"/>
      <c r="CZ390" s="7"/>
    </row>
    <row r="391" spans="90:104" x14ac:dyDescent="0.25">
      <c r="CL391" s="67"/>
      <c r="CM391" s="67"/>
      <c r="CN391" s="67"/>
      <c r="CO391" s="67"/>
      <c r="CP391" s="67"/>
      <c r="CQ391" s="70"/>
      <c r="CR391" s="67"/>
      <c r="CS391" s="70"/>
      <c r="CT391" s="68"/>
      <c r="CU391" s="68"/>
      <c r="CV391" s="68"/>
      <c r="CW391" s="69"/>
      <c r="CX391" s="69"/>
      <c r="CY391" s="7"/>
      <c r="CZ391" s="7"/>
    </row>
    <row r="392" spans="90:104" x14ac:dyDescent="0.25">
      <c r="CL392" s="67"/>
      <c r="CM392" s="67"/>
      <c r="CN392" s="67"/>
      <c r="CO392" s="67"/>
      <c r="CP392" s="67"/>
      <c r="CQ392" s="70"/>
      <c r="CR392" s="67"/>
      <c r="CS392" s="70"/>
      <c r="CT392" s="68"/>
      <c r="CU392" s="68"/>
      <c r="CV392" s="68"/>
      <c r="CW392" s="69"/>
      <c r="CX392" s="69"/>
      <c r="CY392" s="7"/>
      <c r="CZ392" s="7"/>
    </row>
    <row r="393" spans="90:104" x14ac:dyDescent="0.25">
      <c r="CL393" s="67"/>
      <c r="CM393" s="67"/>
      <c r="CN393" s="67"/>
      <c r="CO393" s="67"/>
      <c r="CP393" s="67"/>
      <c r="CQ393" s="70"/>
      <c r="CR393" s="67"/>
      <c r="CS393" s="70"/>
      <c r="CT393" s="68"/>
      <c r="CU393" s="70"/>
      <c r="CV393" s="68"/>
      <c r="CW393" s="69"/>
      <c r="CX393" s="69"/>
      <c r="CY393" s="7"/>
      <c r="CZ393" s="7"/>
    </row>
    <row r="394" spans="90:104" x14ac:dyDescent="0.25">
      <c r="CL394" s="67"/>
      <c r="CM394" s="67"/>
      <c r="CN394" s="67"/>
      <c r="CO394" s="67"/>
      <c r="CP394" s="67"/>
      <c r="CQ394" s="70"/>
      <c r="CR394" s="72"/>
      <c r="CS394" s="70"/>
      <c r="CT394" s="68"/>
      <c r="CU394" s="70"/>
      <c r="CV394" s="68"/>
      <c r="CW394" s="69"/>
      <c r="CX394" s="69"/>
      <c r="CY394" s="7"/>
      <c r="CZ394" s="7"/>
    </row>
    <row r="395" spans="90:104" x14ac:dyDescent="0.25">
      <c r="CL395" s="67"/>
      <c r="CM395" s="67"/>
      <c r="CN395" s="67"/>
      <c r="CO395" s="67"/>
      <c r="CP395" s="67"/>
      <c r="CQ395" s="69"/>
      <c r="CR395" s="67"/>
      <c r="CS395" s="71"/>
      <c r="CT395" s="71"/>
      <c r="CU395" s="71"/>
      <c r="CV395" s="71"/>
      <c r="CW395" s="69"/>
      <c r="CX395" s="69"/>
      <c r="CY395" s="7"/>
      <c r="CZ395" s="7"/>
    </row>
    <row r="396" spans="90:104" x14ac:dyDescent="0.25">
      <c r="CL396" s="67"/>
      <c r="CM396" s="67"/>
      <c r="CN396" s="67"/>
      <c r="CO396" s="67"/>
      <c r="CP396" s="67"/>
      <c r="CQ396" s="69"/>
      <c r="CR396" s="67"/>
      <c r="CS396" s="69"/>
      <c r="CT396" s="69"/>
      <c r="CU396" s="69"/>
      <c r="CV396" s="68"/>
      <c r="CW396" s="69"/>
      <c r="CX396" s="69"/>
      <c r="CY396" s="7"/>
      <c r="CZ396" s="7"/>
    </row>
    <row r="397" spans="90:104" x14ac:dyDescent="0.25">
      <c r="CL397" s="67"/>
      <c r="CM397" s="67"/>
      <c r="CN397" s="67"/>
      <c r="CO397" s="67"/>
      <c r="CP397" s="67"/>
      <c r="CQ397" s="69"/>
      <c r="CR397" s="67"/>
      <c r="CS397" s="71"/>
      <c r="CT397" s="71"/>
      <c r="CU397" s="71"/>
      <c r="CV397" s="71"/>
      <c r="CW397" s="69"/>
      <c r="CX397" s="69"/>
      <c r="CY397" s="7"/>
      <c r="CZ397" s="7"/>
    </row>
    <row r="398" spans="90:104" x14ac:dyDescent="0.25">
      <c r="CL398" s="67"/>
      <c r="CM398" s="67"/>
      <c r="CN398" s="67"/>
      <c r="CO398" s="67"/>
      <c r="CP398" s="67"/>
      <c r="CQ398" s="67"/>
      <c r="CR398" s="67"/>
      <c r="CS398" s="68"/>
      <c r="CT398" s="68"/>
      <c r="CU398" s="68"/>
      <c r="CV398" s="68"/>
      <c r="CW398" s="69"/>
      <c r="CX398" s="69"/>
      <c r="CY398" s="7"/>
      <c r="CZ398" s="7"/>
    </row>
    <row r="399" spans="90:104" x14ac:dyDescent="0.25">
      <c r="CL399" s="67"/>
      <c r="CM399" s="67"/>
      <c r="CN399" s="67"/>
      <c r="CO399" s="67"/>
      <c r="CP399" s="67"/>
      <c r="CQ399" s="70"/>
      <c r="CR399" s="67"/>
      <c r="CS399" s="68"/>
      <c r="CT399" s="68"/>
      <c r="CU399" s="68"/>
      <c r="CV399" s="68"/>
      <c r="CW399" s="69"/>
      <c r="CX399" s="69"/>
      <c r="CY399" s="7"/>
      <c r="CZ399" s="7"/>
    </row>
    <row r="400" spans="90:104" x14ac:dyDescent="0.25">
      <c r="CL400" s="67"/>
      <c r="CM400" s="67"/>
      <c r="CN400" s="67"/>
      <c r="CO400" s="67"/>
      <c r="CP400" s="67"/>
      <c r="CQ400" s="70"/>
      <c r="CR400" s="67"/>
      <c r="CS400" s="68"/>
      <c r="CT400" s="68"/>
      <c r="CU400" s="68"/>
      <c r="CV400" s="68"/>
      <c r="CW400" s="69"/>
      <c r="CX400" s="69"/>
      <c r="CY400" s="7"/>
      <c r="CZ400" s="7"/>
    </row>
    <row r="401" spans="90:104" x14ac:dyDescent="0.25">
      <c r="CL401" s="67"/>
      <c r="CM401" s="67"/>
      <c r="CN401" s="67"/>
      <c r="CO401" s="67"/>
      <c r="CP401" s="67"/>
      <c r="CQ401" s="70"/>
      <c r="CR401" s="67"/>
      <c r="CS401" s="70"/>
      <c r="CT401" s="68"/>
      <c r="CU401" s="68"/>
      <c r="CV401" s="68"/>
      <c r="CW401" s="69"/>
      <c r="CX401" s="69"/>
      <c r="CY401" s="7"/>
      <c r="CZ401" s="7"/>
    </row>
    <row r="402" spans="90:104" x14ac:dyDescent="0.25">
      <c r="CL402" s="67"/>
      <c r="CM402" s="67"/>
      <c r="CN402" s="67"/>
      <c r="CO402" s="67"/>
      <c r="CP402" s="67"/>
      <c r="CQ402" s="70"/>
      <c r="CR402" s="67"/>
      <c r="CS402" s="70"/>
      <c r="CT402" s="68"/>
      <c r="CU402" s="68"/>
      <c r="CV402" s="68"/>
      <c r="CW402" s="69"/>
      <c r="CX402" s="69"/>
      <c r="CY402" s="7"/>
      <c r="CZ402" s="7"/>
    </row>
    <row r="403" spans="90:104" x14ac:dyDescent="0.25">
      <c r="CL403" s="67"/>
      <c r="CM403" s="67"/>
      <c r="CN403" s="67"/>
      <c r="CO403" s="67"/>
      <c r="CP403" s="67"/>
      <c r="CQ403" s="70"/>
      <c r="CR403" s="67"/>
      <c r="CS403" s="70"/>
      <c r="CT403" s="68"/>
      <c r="CU403" s="68"/>
      <c r="CV403" s="68"/>
      <c r="CW403" s="69"/>
      <c r="CX403" s="69"/>
      <c r="CY403" s="7"/>
      <c r="CZ403" s="7"/>
    </row>
    <row r="404" spans="90:104" x14ac:dyDescent="0.25">
      <c r="CL404" s="67"/>
      <c r="CM404" s="67"/>
      <c r="CN404" s="67"/>
      <c r="CO404" s="67"/>
      <c r="CP404" s="67"/>
      <c r="CQ404" s="69"/>
      <c r="CR404" s="67"/>
      <c r="CS404" s="68"/>
      <c r="CT404" s="68"/>
      <c r="CU404" s="68"/>
      <c r="CV404" s="68"/>
      <c r="CW404" s="69"/>
      <c r="CX404" s="69"/>
      <c r="CY404" s="7"/>
      <c r="CZ404" s="7"/>
    </row>
    <row r="405" spans="90:104" x14ac:dyDescent="0.25">
      <c r="CL405" s="67"/>
      <c r="CM405" s="67"/>
      <c r="CN405" s="67"/>
      <c r="CO405" s="67"/>
      <c r="CP405" s="67"/>
      <c r="CQ405" s="69"/>
      <c r="CR405" s="67"/>
      <c r="CS405" s="69"/>
      <c r="CT405" s="68"/>
      <c r="CU405" s="68"/>
      <c r="CV405" s="68"/>
      <c r="CW405" s="69"/>
      <c r="CX405" s="69"/>
      <c r="CY405" s="7"/>
      <c r="CZ405" s="7"/>
    </row>
    <row r="406" spans="90:104" x14ac:dyDescent="0.25">
      <c r="CL406" s="67"/>
      <c r="CM406" s="67"/>
      <c r="CN406" s="67"/>
      <c r="CO406" s="67"/>
      <c r="CP406" s="67"/>
      <c r="CQ406" s="69"/>
      <c r="CR406" s="67"/>
      <c r="CS406" s="68"/>
      <c r="CT406" s="68"/>
      <c r="CU406" s="68"/>
      <c r="CV406" s="68"/>
      <c r="CW406" s="69"/>
      <c r="CX406" s="69"/>
      <c r="CY406" s="7"/>
      <c r="CZ406" s="7"/>
    </row>
    <row r="407" spans="90:104" x14ac:dyDescent="0.25">
      <c r="CL407" s="67"/>
      <c r="CM407" s="67"/>
      <c r="CN407" s="67"/>
      <c r="CO407" s="67"/>
      <c r="CP407" s="67"/>
      <c r="CQ407" s="69"/>
      <c r="CR407" s="67"/>
      <c r="CS407" s="69"/>
      <c r="CT407" s="68"/>
      <c r="CU407" s="69"/>
      <c r="CV407" s="68"/>
      <c r="CW407" s="69"/>
      <c r="CX407" s="69"/>
      <c r="CY407" s="7"/>
      <c r="CZ407" s="7"/>
    </row>
    <row r="408" spans="90:104" x14ac:dyDescent="0.25">
      <c r="CL408" s="67"/>
      <c r="CM408" s="67"/>
      <c r="CN408" s="67"/>
      <c r="CO408" s="67"/>
      <c r="CP408" s="67"/>
      <c r="CQ408" s="69"/>
      <c r="CR408" s="67"/>
      <c r="CS408" s="69"/>
      <c r="CT408" s="68"/>
      <c r="CU408" s="69"/>
      <c r="CV408" s="68"/>
      <c r="CW408" s="69"/>
      <c r="CX408" s="69"/>
      <c r="CY408" s="7"/>
      <c r="CZ408" s="7"/>
    </row>
    <row r="409" spans="90:104" x14ac:dyDescent="0.25">
      <c r="CL409" s="67"/>
      <c r="CM409" s="67"/>
      <c r="CN409" s="67"/>
      <c r="CO409" s="67"/>
      <c r="CP409" s="67"/>
      <c r="CQ409" s="67"/>
      <c r="CR409" s="67"/>
      <c r="CS409" s="68"/>
      <c r="CT409" s="68"/>
      <c r="CU409" s="68"/>
      <c r="CV409" s="68"/>
      <c r="CW409" s="69"/>
      <c r="CX409" s="69"/>
      <c r="CY409" s="7"/>
      <c r="CZ409" s="7"/>
    </row>
    <row r="410" spans="90:104" x14ac:dyDescent="0.25">
      <c r="CL410" s="67"/>
      <c r="CM410" s="67"/>
      <c r="CN410" s="67"/>
      <c r="CO410" s="67"/>
      <c r="CP410" s="67"/>
      <c r="CQ410" s="67"/>
      <c r="CR410" s="67"/>
      <c r="CS410" s="68"/>
      <c r="CT410" s="68"/>
      <c r="CU410" s="68"/>
      <c r="CV410" s="68"/>
      <c r="CW410" s="69"/>
      <c r="CX410" s="69"/>
      <c r="CY410" s="7"/>
      <c r="CZ410" s="7"/>
    </row>
    <row r="411" spans="90:104" x14ac:dyDescent="0.25">
      <c r="CL411" s="67"/>
      <c r="CM411" s="67"/>
      <c r="CN411" s="67"/>
      <c r="CO411" s="67"/>
      <c r="CP411" s="67"/>
      <c r="CQ411" s="70"/>
      <c r="CR411" s="67"/>
      <c r="CS411" s="68"/>
      <c r="CT411" s="68"/>
      <c r="CU411" s="68"/>
      <c r="CV411" s="68"/>
      <c r="CW411" s="69"/>
      <c r="CX411" s="69"/>
      <c r="CY411" s="7"/>
      <c r="CZ411" s="7"/>
    </row>
    <row r="412" spans="90:104" x14ac:dyDescent="0.25">
      <c r="CL412" s="67"/>
      <c r="CM412" s="67"/>
      <c r="CN412" s="67"/>
      <c r="CO412" s="67"/>
      <c r="CP412" s="67"/>
      <c r="CQ412" s="70"/>
      <c r="CR412" s="67"/>
      <c r="CS412" s="68"/>
      <c r="CT412" s="68"/>
      <c r="CU412" s="68"/>
      <c r="CV412" s="68"/>
      <c r="CW412" s="69"/>
      <c r="CX412" s="69"/>
      <c r="CY412" s="7"/>
      <c r="CZ412" s="7"/>
    </row>
    <row r="413" spans="90:104" x14ac:dyDescent="0.25">
      <c r="CL413" s="67"/>
      <c r="CM413" s="67"/>
      <c r="CN413" s="67"/>
      <c r="CO413" s="67"/>
      <c r="CP413" s="67"/>
      <c r="CQ413" s="70"/>
      <c r="CR413" s="67"/>
      <c r="CS413" s="70"/>
      <c r="CT413" s="68"/>
      <c r="CU413" s="68"/>
      <c r="CV413" s="68"/>
      <c r="CW413" s="69"/>
      <c r="CX413" s="69"/>
      <c r="CY413" s="7"/>
      <c r="CZ413" s="7"/>
    </row>
    <row r="414" spans="90:104" x14ac:dyDescent="0.25">
      <c r="CL414" s="67"/>
      <c r="CM414" s="67"/>
      <c r="CN414" s="67"/>
      <c r="CO414" s="67"/>
      <c r="CP414" s="67"/>
      <c r="CQ414" s="70"/>
      <c r="CR414" s="67"/>
      <c r="CS414" s="70"/>
      <c r="CT414" s="68"/>
      <c r="CU414" s="68"/>
      <c r="CV414" s="68"/>
      <c r="CW414" s="69"/>
      <c r="CX414" s="69"/>
      <c r="CY414" s="7"/>
      <c r="CZ414" s="7"/>
    </row>
    <row r="415" spans="90:104" x14ac:dyDescent="0.25">
      <c r="CL415" s="67"/>
      <c r="CM415" s="67"/>
      <c r="CN415" s="67"/>
      <c r="CO415" s="67"/>
      <c r="CP415" s="67"/>
      <c r="CQ415" s="70"/>
      <c r="CR415" s="67"/>
      <c r="CS415" s="70"/>
      <c r="CT415" s="68"/>
      <c r="CU415" s="68"/>
      <c r="CV415" s="68"/>
      <c r="CW415" s="69"/>
      <c r="CX415" s="69"/>
      <c r="CY415" s="7"/>
      <c r="CZ415" s="7"/>
    </row>
    <row r="416" spans="90:104" x14ac:dyDescent="0.25">
      <c r="CL416" s="67"/>
      <c r="CM416" s="67"/>
      <c r="CN416" s="67"/>
      <c r="CO416" s="67"/>
      <c r="CP416" s="67"/>
      <c r="CQ416" s="70"/>
      <c r="CR416" s="67"/>
      <c r="CS416" s="70"/>
      <c r="CT416" s="68"/>
      <c r="CU416" s="68"/>
      <c r="CV416" s="68"/>
      <c r="CW416" s="69"/>
      <c r="CX416" s="69"/>
      <c r="CY416" s="7"/>
      <c r="CZ416" s="7"/>
    </row>
    <row r="417" spans="90:104" x14ac:dyDescent="0.25">
      <c r="CL417" s="67"/>
      <c r="CM417" s="67"/>
      <c r="CN417" s="67"/>
      <c r="CO417" s="67"/>
      <c r="CP417" s="67"/>
      <c r="CQ417" s="70"/>
      <c r="CR417" s="67"/>
      <c r="CS417" s="70"/>
      <c r="CT417" s="68"/>
      <c r="CU417" s="68"/>
      <c r="CV417" s="68"/>
      <c r="CW417" s="69"/>
      <c r="CX417" s="69"/>
      <c r="CY417" s="7"/>
      <c r="CZ417" s="7"/>
    </row>
    <row r="418" spans="90:104" x14ac:dyDescent="0.25">
      <c r="CL418" s="67"/>
      <c r="CM418" s="67"/>
      <c r="CN418" s="67"/>
      <c r="CO418" s="67"/>
      <c r="CP418" s="67"/>
      <c r="CQ418" s="69"/>
      <c r="CR418" s="67"/>
      <c r="CS418" s="71"/>
      <c r="CT418" s="71"/>
      <c r="CU418" s="71"/>
      <c r="CV418" s="71"/>
      <c r="CW418" s="69"/>
      <c r="CX418" s="69"/>
      <c r="CY418" s="7"/>
      <c r="CZ418" s="7"/>
    </row>
    <row r="419" spans="90:104" x14ac:dyDescent="0.25">
      <c r="CL419" s="67"/>
      <c r="CM419" s="67"/>
      <c r="CN419" s="67"/>
      <c r="CO419" s="67"/>
      <c r="CP419" s="67"/>
      <c r="CQ419" s="69"/>
      <c r="CR419" s="67"/>
      <c r="CS419" s="71"/>
      <c r="CT419" s="71"/>
      <c r="CU419" s="71"/>
      <c r="CV419" s="71"/>
      <c r="CW419" s="69"/>
      <c r="CX419" s="69"/>
      <c r="CY419" s="7"/>
      <c r="CZ419" s="7"/>
    </row>
    <row r="420" spans="90:104" x14ac:dyDescent="0.25">
      <c r="CL420" s="67"/>
      <c r="CM420" s="67"/>
      <c r="CN420" s="67"/>
      <c r="CO420" s="67"/>
      <c r="CP420" s="67"/>
      <c r="CQ420" s="67"/>
      <c r="CR420" s="67"/>
      <c r="CS420" s="68"/>
      <c r="CT420" s="68"/>
      <c r="CU420" s="68"/>
      <c r="CV420" s="68"/>
      <c r="CW420" s="69"/>
      <c r="CX420" s="69"/>
      <c r="CY420" s="7"/>
      <c r="CZ420" s="7"/>
    </row>
    <row r="421" spans="90:104" x14ac:dyDescent="0.25">
      <c r="CL421" s="67"/>
      <c r="CM421" s="67"/>
      <c r="CN421" s="67"/>
      <c r="CO421" s="67"/>
      <c r="CP421" s="67"/>
      <c r="CQ421" s="70"/>
      <c r="CR421" s="67"/>
      <c r="CS421" s="68"/>
      <c r="CT421" s="68"/>
      <c r="CU421" s="68"/>
      <c r="CV421" s="68"/>
      <c r="CW421" s="69"/>
      <c r="CX421" s="69"/>
      <c r="CY421" s="7"/>
      <c r="CZ421" s="7"/>
    </row>
    <row r="422" spans="90:104" x14ac:dyDescent="0.25">
      <c r="CL422" s="67"/>
      <c r="CM422" s="67"/>
      <c r="CN422" s="67"/>
      <c r="CO422" s="67"/>
      <c r="CP422" s="67"/>
      <c r="CQ422" s="70"/>
      <c r="CR422" s="67"/>
      <c r="CS422" s="70"/>
      <c r="CT422" s="68"/>
      <c r="CU422" s="68"/>
      <c r="CV422" s="68"/>
      <c r="CW422" s="69"/>
      <c r="CX422" s="69"/>
      <c r="CY422" s="7"/>
      <c r="CZ422" s="7"/>
    </row>
    <row r="423" spans="90:104" x14ac:dyDescent="0.25">
      <c r="CL423" s="67"/>
      <c r="CM423" s="67"/>
      <c r="CN423" s="67"/>
      <c r="CO423" s="67"/>
      <c r="CP423" s="67"/>
      <c r="CQ423" s="70"/>
      <c r="CR423" s="67"/>
      <c r="CS423" s="70"/>
      <c r="CT423" s="68"/>
      <c r="CU423" s="68"/>
      <c r="CV423" s="68"/>
      <c r="CW423" s="69"/>
      <c r="CX423" s="69"/>
      <c r="CY423" s="7"/>
      <c r="CZ423" s="7"/>
    </row>
    <row r="424" spans="90:104" x14ac:dyDescent="0.25">
      <c r="CL424" s="67"/>
      <c r="CM424" s="67"/>
      <c r="CN424" s="67"/>
      <c r="CO424" s="67"/>
      <c r="CP424" s="67"/>
      <c r="CQ424" s="69"/>
      <c r="CR424" s="67"/>
      <c r="CS424" s="68"/>
      <c r="CT424" s="68"/>
      <c r="CU424" s="68"/>
      <c r="CV424" s="68"/>
      <c r="CW424" s="69"/>
      <c r="CX424" s="69"/>
      <c r="CY424" s="7"/>
      <c r="CZ424" s="7"/>
    </row>
    <row r="425" spans="90:104" x14ac:dyDescent="0.25">
      <c r="CL425" s="67"/>
      <c r="CM425" s="67"/>
      <c r="CN425" s="67"/>
      <c r="CO425" s="67"/>
      <c r="CP425" s="67"/>
      <c r="CQ425" s="69"/>
      <c r="CR425" s="67"/>
      <c r="CS425" s="68"/>
      <c r="CT425" s="68"/>
      <c r="CU425" s="68"/>
      <c r="CV425" s="68"/>
      <c r="CW425" s="69"/>
      <c r="CX425" s="69"/>
      <c r="CY425" s="7"/>
      <c r="CZ425" s="7"/>
    </row>
    <row r="426" spans="90:104" x14ac:dyDescent="0.25">
      <c r="CL426" s="67"/>
      <c r="CM426" s="67"/>
      <c r="CN426" s="67"/>
      <c r="CO426" s="67"/>
      <c r="CP426" s="67"/>
      <c r="CQ426" s="69"/>
      <c r="CR426" s="67"/>
      <c r="CS426" s="68"/>
      <c r="CT426" s="68"/>
      <c r="CU426" s="68"/>
      <c r="CV426" s="68"/>
      <c r="CW426" s="69"/>
      <c r="CX426" s="69"/>
      <c r="CY426" s="7"/>
      <c r="CZ426" s="7"/>
    </row>
    <row r="427" spans="90:104" x14ac:dyDescent="0.25">
      <c r="CL427" s="67"/>
      <c r="CM427" s="67"/>
      <c r="CN427" s="67"/>
      <c r="CO427" s="67"/>
      <c r="CP427" s="67"/>
      <c r="CQ427" s="69"/>
      <c r="CR427" s="67"/>
      <c r="CS427" s="69"/>
      <c r="CT427" s="68"/>
      <c r="CU427" s="69"/>
      <c r="CV427" s="68"/>
      <c r="CW427" s="69"/>
      <c r="CX427" s="69"/>
      <c r="CY427" s="7"/>
      <c r="CZ427" s="7"/>
    </row>
    <row r="428" spans="90:104" x14ac:dyDescent="0.25">
      <c r="CL428" s="67"/>
      <c r="CM428" s="67"/>
      <c r="CN428" s="67"/>
      <c r="CO428" s="67"/>
      <c r="CP428" s="67"/>
      <c r="CQ428" s="69"/>
      <c r="CR428" s="67"/>
      <c r="CS428" s="69"/>
      <c r="CT428" s="68"/>
      <c r="CU428" s="69"/>
      <c r="CV428" s="68"/>
      <c r="CW428" s="69"/>
      <c r="CX428" s="69"/>
      <c r="CY428" s="7"/>
      <c r="CZ428" s="7"/>
    </row>
    <row r="429" spans="90:104" x14ac:dyDescent="0.25">
      <c r="CL429" s="67"/>
      <c r="CM429" s="67"/>
      <c r="CN429" s="67"/>
      <c r="CO429" s="67"/>
      <c r="CP429" s="67"/>
      <c r="CQ429" s="67"/>
      <c r="CR429" s="67"/>
      <c r="CS429" s="68"/>
      <c r="CT429" s="68"/>
      <c r="CU429" s="68"/>
      <c r="CV429" s="68"/>
      <c r="CW429" s="69"/>
      <c r="CX429" s="69"/>
      <c r="CY429" s="7"/>
      <c r="CZ429" s="7"/>
    </row>
    <row r="430" spans="90:104" x14ac:dyDescent="0.25">
      <c r="CL430" s="67"/>
      <c r="CM430" s="67"/>
      <c r="CN430" s="67"/>
      <c r="CO430" s="67"/>
      <c r="CP430" s="67"/>
      <c r="CQ430" s="67"/>
      <c r="CR430" s="67"/>
      <c r="CS430" s="68"/>
      <c r="CT430" s="68"/>
      <c r="CU430" s="68"/>
      <c r="CV430" s="68"/>
      <c r="CW430" s="69"/>
      <c r="CX430" s="69"/>
      <c r="CY430" s="7"/>
      <c r="CZ430" s="7"/>
    </row>
    <row r="431" spans="90:104" x14ac:dyDescent="0.25">
      <c r="CL431" s="67"/>
      <c r="CM431" s="67"/>
      <c r="CN431" s="67"/>
      <c r="CO431" s="67"/>
      <c r="CP431" s="67"/>
      <c r="CQ431" s="70"/>
      <c r="CR431" s="67"/>
      <c r="CS431" s="68"/>
      <c r="CT431" s="68"/>
      <c r="CU431" s="68"/>
      <c r="CV431" s="68"/>
      <c r="CW431" s="69"/>
      <c r="CX431" s="69"/>
      <c r="CY431" s="7"/>
      <c r="CZ431" s="7"/>
    </row>
    <row r="432" spans="90:104" x14ac:dyDescent="0.25">
      <c r="CL432" s="67"/>
      <c r="CM432" s="67"/>
      <c r="CN432" s="67"/>
      <c r="CO432" s="67"/>
      <c r="CP432" s="67"/>
      <c r="CQ432" s="70"/>
      <c r="CR432" s="67"/>
      <c r="CS432" s="70"/>
      <c r="CT432" s="68"/>
      <c r="CU432" s="68"/>
      <c r="CV432" s="68"/>
      <c r="CW432" s="69"/>
      <c r="CX432" s="69"/>
      <c r="CY432" s="7"/>
      <c r="CZ432" s="7"/>
    </row>
    <row r="433" spans="90:104" x14ac:dyDescent="0.25">
      <c r="CL433" s="67"/>
      <c r="CM433" s="67"/>
      <c r="CN433" s="67"/>
      <c r="CO433" s="67"/>
      <c r="CP433" s="67"/>
      <c r="CQ433" s="70"/>
      <c r="CR433" s="67"/>
      <c r="CS433" s="70"/>
      <c r="CT433" s="68"/>
      <c r="CU433" s="68"/>
      <c r="CV433" s="68"/>
      <c r="CW433" s="69"/>
      <c r="CX433" s="69"/>
      <c r="CY433" s="7"/>
      <c r="CZ433" s="7"/>
    </row>
    <row r="434" spans="90:104" x14ac:dyDescent="0.25">
      <c r="CL434" s="67"/>
      <c r="CM434" s="67"/>
      <c r="CN434" s="67"/>
      <c r="CO434" s="67"/>
      <c r="CP434" s="67"/>
      <c r="CQ434" s="70"/>
      <c r="CR434" s="67"/>
      <c r="CS434" s="70"/>
      <c r="CT434" s="68"/>
      <c r="CU434" s="68"/>
      <c r="CV434" s="68"/>
      <c r="CW434" s="69"/>
      <c r="CX434" s="69"/>
      <c r="CY434" s="7"/>
      <c r="CZ434" s="7"/>
    </row>
    <row r="435" spans="90:104" x14ac:dyDescent="0.25">
      <c r="CL435" s="67"/>
      <c r="CM435" s="67"/>
      <c r="CN435" s="67"/>
      <c r="CO435" s="67"/>
      <c r="CP435" s="67"/>
      <c r="CQ435" s="70"/>
      <c r="CR435" s="67"/>
      <c r="CS435" s="70"/>
      <c r="CT435" s="68"/>
      <c r="CU435" s="68"/>
      <c r="CV435" s="68"/>
      <c r="CW435" s="69"/>
      <c r="CX435" s="69"/>
      <c r="CY435" s="7"/>
      <c r="CZ435" s="7"/>
    </row>
    <row r="436" spans="90:104" x14ac:dyDescent="0.25">
      <c r="CL436" s="67"/>
      <c r="CM436" s="67"/>
      <c r="CN436" s="67"/>
      <c r="CO436" s="67"/>
      <c r="CP436" s="67"/>
      <c r="CQ436" s="70"/>
      <c r="CR436" s="67"/>
      <c r="CS436" s="70"/>
      <c r="CT436" s="68"/>
      <c r="CU436" s="68"/>
      <c r="CV436" s="68"/>
      <c r="CW436" s="69"/>
      <c r="CX436" s="69"/>
      <c r="CY436" s="7"/>
      <c r="CZ436" s="7"/>
    </row>
    <row r="437" spans="90:104" x14ac:dyDescent="0.25">
      <c r="CL437" s="67"/>
      <c r="CM437" s="67"/>
      <c r="CN437" s="67"/>
      <c r="CO437" s="67"/>
      <c r="CP437" s="67"/>
      <c r="CQ437" s="69"/>
      <c r="CR437" s="67"/>
      <c r="CS437" s="71"/>
      <c r="CT437" s="71"/>
      <c r="CU437" s="71"/>
      <c r="CV437" s="71"/>
      <c r="CW437" s="69"/>
      <c r="CX437" s="69"/>
      <c r="CY437" s="7"/>
      <c r="CZ437" s="7"/>
    </row>
    <row r="438" spans="90:104" x14ac:dyDescent="0.25">
      <c r="CL438" s="67"/>
      <c r="CM438" s="67"/>
      <c r="CN438" s="73"/>
      <c r="CO438" s="73"/>
      <c r="CP438" s="73"/>
      <c r="CQ438" s="74"/>
      <c r="CR438" s="73"/>
      <c r="CS438" s="71"/>
      <c r="CT438" s="71"/>
      <c r="CU438" s="71"/>
      <c r="CV438" s="71"/>
      <c r="CW438" s="69"/>
      <c r="CX438" s="69"/>
      <c r="CY438" s="7"/>
      <c r="CZ438" s="7"/>
    </row>
    <row r="439" spans="90:104" x14ac:dyDescent="0.25">
      <c r="CL439" s="67"/>
      <c r="CM439" s="67"/>
      <c r="CN439" s="67"/>
      <c r="CO439" s="67"/>
      <c r="CP439" s="73"/>
      <c r="CQ439" s="69"/>
      <c r="CR439" s="67"/>
      <c r="CS439" s="71"/>
      <c r="CT439" s="69"/>
      <c r="CU439" s="69"/>
      <c r="CV439" s="71"/>
      <c r="CW439" s="69"/>
      <c r="CX439" s="69"/>
      <c r="CY439" s="7"/>
      <c r="CZ439" s="7"/>
    </row>
    <row r="440" spans="90:104" x14ac:dyDescent="0.25">
      <c r="CL440" s="67"/>
      <c r="CM440" s="67"/>
      <c r="CN440" s="67"/>
      <c r="CO440" s="73"/>
      <c r="CP440" s="67"/>
      <c r="CQ440" s="70"/>
      <c r="CR440" s="67"/>
      <c r="CS440" s="68"/>
      <c r="CT440" s="68"/>
      <c r="CU440" s="68"/>
      <c r="CV440" s="68"/>
      <c r="CW440" s="69"/>
      <c r="CX440" s="69"/>
      <c r="CY440" s="7"/>
      <c r="CZ440" s="7"/>
    </row>
    <row r="441" spans="90:104" x14ac:dyDescent="0.25">
      <c r="CL441" s="67"/>
      <c r="CM441" s="67"/>
      <c r="CN441" s="67"/>
      <c r="CO441" s="67"/>
      <c r="CP441" s="67"/>
      <c r="CQ441" s="67"/>
      <c r="CR441" s="67"/>
      <c r="CS441" s="68"/>
      <c r="CT441" s="68"/>
      <c r="CU441" s="68"/>
      <c r="CV441" s="68"/>
      <c r="CW441" s="69"/>
      <c r="CX441" s="69"/>
      <c r="CY441" s="7"/>
      <c r="CZ441" s="7"/>
    </row>
    <row r="442" spans="90:104" x14ac:dyDescent="0.25">
      <c r="CL442" s="67"/>
      <c r="CM442" s="67"/>
      <c r="CN442" s="67"/>
      <c r="CO442" s="67"/>
      <c r="CP442" s="67"/>
      <c r="CQ442" s="70"/>
      <c r="CR442" s="67"/>
      <c r="CS442" s="70"/>
      <c r="CT442" s="68"/>
      <c r="CU442" s="68"/>
      <c r="CV442" s="68"/>
      <c r="CW442" s="69"/>
      <c r="CX442" s="69"/>
      <c r="CY442" s="7"/>
      <c r="CZ442" s="7"/>
    </row>
    <row r="443" spans="90:104" x14ac:dyDescent="0.25">
      <c r="CL443" s="67"/>
      <c r="CM443" s="67"/>
      <c r="CN443" s="67"/>
      <c r="CO443" s="67"/>
      <c r="CP443" s="67"/>
      <c r="CQ443" s="67"/>
      <c r="CR443" s="67"/>
      <c r="CS443" s="68"/>
      <c r="CT443" s="68"/>
      <c r="CU443" s="68"/>
      <c r="CV443" s="68"/>
      <c r="CW443" s="69"/>
      <c r="CX443" s="69"/>
      <c r="CY443" s="7"/>
      <c r="CZ443" s="7"/>
    </row>
    <row r="444" spans="90:104" x14ac:dyDescent="0.25"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7"/>
      <c r="CZ444" s="7"/>
    </row>
    <row r="445" spans="90:104" x14ac:dyDescent="0.25">
      <c r="CL445" s="67"/>
      <c r="CM445" s="67"/>
      <c r="CN445" s="67"/>
      <c r="CO445" s="67"/>
      <c r="CP445" s="67"/>
      <c r="CQ445" s="69"/>
      <c r="CR445" s="67"/>
      <c r="CS445" s="68"/>
      <c r="CT445" s="68"/>
      <c r="CU445" s="68"/>
      <c r="CV445" s="68"/>
      <c r="CW445" s="69"/>
      <c r="CX445" s="69"/>
      <c r="CY445" s="7"/>
      <c r="CZ445" s="7"/>
    </row>
    <row r="446" spans="90:104" x14ac:dyDescent="0.25">
      <c r="CL446" s="67"/>
      <c r="CM446" s="67"/>
      <c r="CN446" s="67"/>
      <c r="CO446" s="67"/>
      <c r="CP446" s="67"/>
      <c r="CQ446" s="69"/>
      <c r="CR446" s="67"/>
      <c r="CS446" s="69"/>
      <c r="CT446" s="68"/>
      <c r="CU446" s="69"/>
      <c r="CV446" s="68"/>
      <c r="CW446" s="69"/>
      <c r="CX446" s="69"/>
      <c r="CY446" s="7"/>
      <c r="CZ446" s="7"/>
    </row>
    <row r="447" spans="90:104" x14ac:dyDescent="0.25">
      <c r="CL447" s="67"/>
      <c r="CM447" s="67"/>
      <c r="CN447" s="67"/>
      <c r="CO447" s="73"/>
      <c r="CP447" s="67"/>
      <c r="CQ447" s="69"/>
      <c r="CR447" s="67"/>
      <c r="CS447" s="69"/>
      <c r="CT447" s="68"/>
      <c r="CU447" s="69"/>
      <c r="CV447" s="68"/>
      <c r="CW447" s="69"/>
      <c r="CX447" s="69"/>
      <c r="CY447" s="7"/>
      <c r="CZ447" s="7"/>
    </row>
    <row r="448" spans="90:104" x14ac:dyDescent="0.25">
      <c r="CL448" s="67"/>
      <c r="CM448" s="67"/>
      <c r="CN448" s="73"/>
      <c r="CO448" s="73"/>
      <c r="CP448" s="73"/>
      <c r="CQ448" s="69"/>
      <c r="CR448" s="67"/>
      <c r="CS448" s="75"/>
      <c r="CT448" s="68"/>
      <c r="CU448" s="69"/>
      <c r="CV448" s="68"/>
      <c r="CW448" s="69"/>
      <c r="CX448" s="69"/>
      <c r="CY448" s="7"/>
      <c r="CZ448" s="7"/>
    </row>
    <row r="449" spans="90:104" x14ac:dyDescent="0.25">
      <c r="CL449" s="67"/>
      <c r="CM449" s="67"/>
      <c r="CN449" s="67"/>
      <c r="CO449" s="67"/>
      <c r="CP449" s="67"/>
      <c r="CQ449" s="70"/>
      <c r="CR449" s="76"/>
      <c r="CS449" s="69"/>
      <c r="CT449" s="77"/>
      <c r="CU449" s="68"/>
      <c r="CV449" s="68"/>
      <c r="CW449" s="69"/>
      <c r="CX449" s="69"/>
      <c r="CY449" s="7"/>
      <c r="CZ449" s="7"/>
    </row>
    <row r="450" spans="90:104" x14ac:dyDescent="0.25">
      <c r="CL450" s="67"/>
      <c r="CM450" s="67"/>
      <c r="CN450" s="67"/>
      <c r="CO450" s="67"/>
      <c r="CP450" s="67"/>
      <c r="CQ450" s="69"/>
      <c r="CR450" s="67"/>
      <c r="CS450" s="68"/>
      <c r="CT450" s="68"/>
      <c r="CU450" s="68"/>
      <c r="CV450" s="68"/>
      <c r="CW450" s="69"/>
      <c r="CX450" s="69"/>
      <c r="CY450" s="7"/>
      <c r="CZ450" s="7"/>
    </row>
    <row r="451" spans="90:104" x14ac:dyDescent="0.25">
      <c r="CL451" s="67"/>
      <c r="CM451" s="67"/>
      <c r="CN451" s="67"/>
      <c r="CO451" s="67"/>
      <c r="CP451" s="67"/>
      <c r="CQ451" s="67"/>
      <c r="CR451" s="67"/>
      <c r="CS451" s="68"/>
      <c r="CT451" s="68"/>
      <c r="CU451" s="68"/>
      <c r="CV451" s="68"/>
      <c r="CW451" s="69"/>
      <c r="CX451" s="69"/>
      <c r="CY451" s="7"/>
      <c r="CZ451" s="7"/>
    </row>
    <row r="452" spans="90:104" x14ac:dyDescent="0.25">
      <c r="CL452" s="67"/>
      <c r="CM452" s="67"/>
      <c r="CN452" s="67"/>
      <c r="CO452" s="67"/>
      <c r="CP452" s="67"/>
      <c r="CQ452" s="70"/>
      <c r="CR452" s="67"/>
      <c r="CS452" s="70"/>
      <c r="CT452" s="68"/>
      <c r="CU452" s="68"/>
      <c r="CV452" s="68"/>
      <c r="CW452" s="69"/>
      <c r="CX452" s="69"/>
      <c r="CY452" s="7"/>
      <c r="CZ452" s="7"/>
    </row>
    <row r="453" spans="90:104" x14ac:dyDescent="0.25">
      <c r="CL453" s="67"/>
      <c r="CM453" s="67"/>
      <c r="CN453" s="67"/>
      <c r="CO453" s="67"/>
      <c r="CP453" s="67"/>
      <c r="CQ453" s="70"/>
      <c r="CR453" s="67"/>
      <c r="CS453" s="70"/>
      <c r="CT453" s="68"/>
      <c r="CU453" s="68"/>
      <c r="CV453" s="68"/>
      <c r="CW453" s="69"/>
      <c r="CX453" s="69"/>
      <c r="CY453" s="7"/>
      <c r="CZ453" s="7"/>
    </row>
    <row r="454" spans="90:104" x14ac:dyDescent="0.25">
      <c r="CL454" s="67"/>
      <c r="CM454" s="67"/>
      <c r="CN454" s="67"/>
      <c r="CO454" s="67"/>
      <c r="CP454" s="67"/>
      <c r="CQ454" s="69"/>
      <c r="CR454" s="67"/>
      <c r="CS454" s="68"/>
      <c r="CT454" s="68"/>
      <c r="CU454" s="68"/>
      <c r="CV454" s="68"/>
      <c r="CW454" s="69"/>
      <c r="CX454" s="69"/>
      <c r="CY454" s="7"/>
      <c r="CZ454" s="7"/>
    </row>
    <row r="455" spans="90:104" x14ac:dyDescent="0.25">
      <c r="CL455" s="67"/>
      <c r="CM455" s="67"/>
      <c r="CN455" s="67"/>
      <c r="CO455" s="67"/>
      <c r="CP455" s="67"/>
      <c r="CQ455" s="69"/>
      <c r="CR455" s="67"/>
      <c r="CS455" s="69"/>
      <c r="CT455" s="68"/>
      <c r="CU455" s="69"/>
      <c r="CV455" s="68"/>
      <c r="CW455" s="69"/>
      <c r="CX455" s="69"/>
      <c r="CY455" s="7"/>
      <c r="CZ455" s="7"/>
    </row>
    <row r="456" spans="90:104" x14ac:dyDescent="0.25">
      <c r="CL456" s="67"/>
      <c r="CM456" s="67"/>
      <c r="CN456" s="67"/>
      <c r="CO456" s="67"/>
      <c r="CP456" s="67"/>
      <c r="CQ456" s="69"/>
      <c r="CR456" s="67"/>
      <c r="CS456" s="69"/>
      <c r="CT456" s="68"/>
      <c r="CU456" s="69"/>
      <c r="CV456" s="68"/>
      <c r="CW456" s="69"/>
      <c r="CX456" s="69"/>
      <c r="CY456" s="7"/>
      <c r="CZ456" s="7"/>
    </row>
    <row r="457" spans="90:104" x14ac:dyDescent="0.25">
      <c r="CL457" s="67"/>
      <c r="CM457" s="67"/>
      <c r="CN457" s="67"/>
      <c r="CO457" s="67"/>
      <c r="CP457" s="67"/>
      <c r="CQ457" s="67"/>
      <c r="CR457" s="67"/>
      <c r="CS457" s="68"/>
      <c r="CT457" s="68"/>
      <c r="CU457" s="68"/>
      <c r="CV457" s="68"/>
      <c r="CW457" s="69"/>
      <c r="CX457" s="69"/>
      <c r="CY457" s="7"/>
      <c r="CZ457" s="7"/>
    </row>
    <row r="458" spans="90:104" x14ac:dyDescent="0.25">
      <c r="CL458" s="67"/>
      <c r="CM458" s="67"/>
      <c r="CN458" s="67"/>
      <c r="CO458" s="67"/>
      <c r="CP458" s="67"/>
      <c r="CQ458" s="70"/>
      <c r="CR458" s="78"/>
      <c r="CS458" s="68"/>
      <c r="CT458" s="68"/>
      <c r="CU458" s="68"/>
      <c r="CV458" s="68"/>
      <c r="CW458" s="69"/>
      <c r="CX458" s="69"/>
      <c r="CY458" s="7"/>
      <c r="CZ458" s="7"/>
    </row>
    <row r="459" spans="90:104" x14ac:dyDescent="0.25">
      <c r="CL459" s="67"/>
      <c r="CM459" s="67"/>
      <c r="CN459" s="67"/>
      <c r="CO459" s="67"/>
      <c r="CP459" s="67"/>
      <c r="CQ459" s="70"/>
      <c r="CR459" s="67"/>
      <c r="CS459" s="68"/>
      <c r="CT459" s="68"/>
      <c r="CU459" s="68"/>
      <c r="CV459" s="68"/>
      <c r="CW459" s="69"/>
      <c r="CX459" s="69"/>
      <c r="CY459" s="7"/>
      <c r="CZ459" s="7"/>
    </row>
    <row r="460" spans="90:104" x14ac:dyDescent="0.25">
      <c r="CL460" s="67"/>
      <c r="CM460" s="67"/>
      <c r="CN460" s="67"/>
      <c r="CO460" s="67"/>
      <c r="CP460" s="67"/>
      <c r="CQ460" s="67"/>
      <c r="CR460" s="67"/>
      <c r="CS460" s="68"/>
      <c r="CT460" s="68"/>
      <c r="CU460" s="68"/>
      <c r="CV460" s="68"/>
      <c r="CW460" s="69"/>
      <c r="CX460" s="69"/>
      <c r="CY460" s="7"/>
      <c r="CZ460" s="7"/>
    </row>
    <row r="461" spans="90:104" x14ac:dyDescent="0.25">
      <c r="CL461" s="67"/>
      <c r="CM461" s="67"/>
      <c r="CN461" s="67"/>
      <c r="CO461" s="67"/>
      <c r="CP461" s="67"/>
      <c r="CQ461" s="70"/>
      <c r="CR461" s="67"/>
      <c r="CS461" s="68"/>
      <c r="CT461" s="68"/>
      <c r="CU461" s="68"/>
      <c r="CV461" s="68"/>
      <c r="CW461" s="69"/>
      <c r="CX461" s="69"/>
      <c r="CY461" s="7"/>
      <c r="CZ461" s="7"/>
    </row>
    <row r="462" spans="90:104" x14ac:dyDescent="0.25">
      <c r="CL462" s="67"/>
      <c r="CM462" s="67"/>
      <c r="CN462" s="67"/>
      <c r="CO462" s="67"/>
      <c r="CP462" s="67"/>
      <c r="CQ462" s="70"/>
      <c r="CR462" s="67"/>
      <c r="CS462" s="70"/>
      <c r="CT462" s="68"/>
      <c r="CU462" s="70"/>
      <c r="CV462" s="68"/>
      <c r="CW462" s="69"/>
      <c r="CX462" s="69"/>
      <c r="CY462" s="7"/>
      <c r="CZ462" s="7"/>
    </row>
    <row r="463" spans="90:104" x14ac:dyDescent="0.25">
      <c r="CL463" s="67"/>
      <c r="CM463" s="67"/>
      <c r="CN463" s="67"/>
      <c r="CO463" s="67"/>
      <c r="CP463" s="67"/>
      <c r="CQ463" s="67"/>
      <c r="CR463" s="67"/>
      <c r="CS463" s="68"/>
      <c r="CT463" s="68"/>
      <c r="CU463" s="68"/>
      <c r="CV463" s="68"/>
      <c r="CW463" s="69"/>
      <c r="CX463" s="69"/>
      <c r="CY463" s="7"/>
      <c r="CZ463" s="7"/>
    </row>
    <row r="464" spans="90:104" x14ac:dyDescent="0.25">
      <c r="CL464" s="67"/>
      <c r="CM464" s="67"/>
      <c r="CN464" s="67"/>
      <c r="CO464" s="67"/>
      <c r="CP464" s="67"/>
      <c r="CQ464" s="69"/>
      <c r="CR464" s="67"/>
      <c r="CS464" s="70"/>
      <c r="CT464" s="68"/>
      <c r="CU464" s="68"/>
      <c r="CV464" s="68"/>
      <c r="CW464" s="69"/>
      <c r="CX464" s="69"/>
      <c r="CY464" s="7"/>
      <c r="CZ464" s="7"/>
    </row>
    <row r="465" spans="90:104" x14ac:dyDescent="0.25">
      <c r="CL465" s="67"/>
      <c r="CM465" s="67"/>
      <c r="CN465" s="67"/>
      <c r="CO465" s="67"/>
      <c r="CP465" s="67"/>
      <c r="CQ465" s="69"/>
      <c r="CR465" s="67"/>
      <c r="CS465" s="69"/>
      <c r="CT465" s="69"/>
      <c r="CU465" s="69"/>
      <c r="CV465" s="68"/>
      <c r="CW465" s="69"/>
      <c r="CX465" s="69"/>
      <c r="CY465" s="7"/>
      <c r="CZ465" s="7"/>
    </row>
    <row r="466" spans="90:104" x14ac:dyDescent="0.25">
      <c r="CL466" s="67"/>
      <c r="CM466" s="67"/>
      <c r="CN466" s="67"/>
      <c r="CO466" s="67"/>
      <c r="CP466" s="67"/>
      <c r="CQ466" s="69"/>
      <c r="CR466" s="67"/>
      <c r="CS466" s="69"/>
      <c r="CT466" s="68"/>
      <c r="CU466" s="68"/>
      <c r="CV466" s="68"/>
      <c r="CW466" s="69"/>
      <c r="CX466" s="69"/>
      <c r="CY466" s="7"/>
      <c r="CZ466" s="7"/>
    </row>
    <row r="467" spans="90:104" x14ac:dyDescent="0.25">
      <c r="CL467" s="67"/>
      <c r="CM467" s="67"/>
      <c r="CN467" s="67"/>
      <c r="CO467" s="67"/>
      <c r="CP467" s="67"/>
      <c r="CQ467" s="70"/>
      <c r="CR467" s="67"/>
      <c r="CS467" s="70"/>
      <c r="CT467" s="68"/>
      <c r="CU467" s="68"/>
      <c r="CV467" s="68"/>
      <c r="CW467" s="69"/>
      <c r="CX467" s="69"/>
      <c r="CY467" s="7"/>
      <c r="CZ467" s="7"/>
    </row>
    <row r="468" spans="90:104" x14ac:dyDescent="0.25">
      <c r="CL468" s="67"/>
      <c r="CM468" s="67"/>
      <c r="CN468" s="67"/>
      <c r="CO468" s="67"/>
      <c r="CP468" s="67"/>
      <c r="CQ468" s="70"/>
      <c r="CR468" s="78"/>
      <c r="CS468" s="70"/>
      <c r="CT468" s="78"/>
      <c r="CU468" s="68"/>
      <c r="CV468" s="68"/>
      <c r="CW468" s="69"/>
      <c r="CX468" s="69"/>
      <c r="CY468" s="7"/>
      <c r="CZ468" s="7"/>
    </row>
    <row r="469" spans="90:104" x14ac:dyDescent="0.25">
      <c r="CL469" s="67"/>
      <c r="CM469" s="67"/>
      <c r="CN469" s="67"/>
      <c r="CO469" s="67"/>
      <c r="CP469" s="67"/>
      <c r="CQ469" s="69"/>
      <c r="CR469" s="67"/>
      <c r="CS469" s="68"/>
      <c r="CT469" s="68"/>
      <c r="CU469" s="68"/>
      <c r="CV469" s="68"/>
      <c r="CW469" s="69"/>
      <c r="CX469" s="69"/>
      <c r="CY469" s="7"/>
      <c r="CZ469" s="7"/>
    </row>
    <row r="470" spans="90:104" x14ac:dyDescent="0.25">
      <c r="CL470" s="67"/>
      <c r="CM470" s="67"/>
      <c r="CN470" s="67"/>
      <c r="CO470" s="67"/>
      <c r="CP470" s="67"/>
      <c r="CQ470" s="67"/>
      <c r="CR470" s="67"/>
      <c r="CS470" s="68"/>
      <c r="CT470" s="68"/>
      <c r="CU470" s="68"/>
      <c r="CV470" s="68"/>
      <c r="CW470" s="69"/>
      <c r="CX470" s="69"/>
      <c r="CY470" s="7"/>
      <c r="CZ470" s="7"/>
    </row>
    <row r="471" spans="90:104" x14ac:dyDescent="0.25">
      <c r="CL471" s="67"/>
      <c r="CM471" s="67"/>
      <c r="CN471" s="67"/>
      <c r="CO471" s="67"/>
      <c r="CP471" s="67"/>
      <c r="CQ471" s="70"/>
      <c r="CR471" s="67"/>
      <c r="CS471" s="70"/>
      <c r="CT471" s="68"/>
      <c r="CU471" s="68"/>
      <c r="CV471" s="68"/>
      <c r="CW471" s="69"/>
      <c r="CX471" s="69"/>
      <c r="CY471" s="7"/>
      <c r="CZ471" s="7"/>
    </row>
    <row r="472" spans="90:104" x14ac:dyDescent="0.25">
      <c r="CL472" s="67"/>
      <c r="CM472" s="67"/>
      <c r="CN472" s="67"/>
      <c r="CO472" s="67"/>
      <c r="CP472" s="67"/>
      <c r="CQ472" s="69"/>
      <c r="CR472" s="67"/>
      <c r="CS472" s="70"/>
      <c r="CT472" s="68"/>
      <c r="CU472" s="68"/>
      <c r="CV472" s="68"/>
      <c r="CW472" s="69"/>
      <c r="CX472" s="69"/>
      <c r="CY472" s="7"/>
      <c r="CZ472" s="7"/>
    </row>
    <row r="473" spans="90:104" x14ac:dyDescent="0.25">
      <c r="CL473" s="67"/>
      <c r="CM473" s="67"/>
      <c r="CN473" s="67"/>
      <c r="CO473" s="67"/>
      <c r="CP473" s="67"/>
      <c r="CQ473" s="69"/>
      <c r="CR473" s="67"/>
      <c r="CS473" s="68"/>
      <c r="CT473" s="68"/>
      <c r="CU473" s="68"/>
      <c r="CV473" s="68"/>
      <c r="CW473" s="69"/>
      <c r="CX473" s="69"/>
      <c r="CY473" s="7"/>
      <c r="CZ473" s="7"/>
    </row>
    <row r="474" spans="90:104" x14ac:dyDescent="0.25">
      <c r="CL474" s="67"/>
      <c r="CM474" s="67"/>
      <c r="CN474" s="67"/>
      <c r="CO474" s="67"/>
      <c r="CP474" s="67"/>
      <c r="CQ474" s="69"/>
      <c r="CR474" s="67"/>
      <c r="CS474" s="69"/>
      <c r="CT474" s="68"/>
      <c r="CU474" s="69"/>
      <c r="CV474" s="68"/>
      <c r="CW474" s="69"/>
      <c r="CX474" s="69"/>
      <c r="CY474" s="7"/>
      <c r="CZ474" s="7"/>
    </row>
    <row r="475" spans="90:104" x14ac:dyDescent="0.25">
      <c r="CL475" s="67"/>
      <c r="CM475" s="67"/>
      <c r="CN475" s="67"/>
      <c r="CO475" s="67"/>
      <c r="CP475" s="67"/>
      <c r="CQ475" s="69"/>
      <c r="CR475" s="67"/>
      <c r="CS475" s="69"/>
      <c r="CT475" s="68"/>
      <c r="CU475" s="69"/>
      <c r="CV475" s="68"/>
      <c r="CW475" s="69"/>
      <c r="CX475" s="69"/>
      <c r="CY475" s="7"/>
      <c r="CZ475" s="7"/>
    </row>
    <row r="476" spans="90:104" x14ac:dyDescent="0.25">
      <c r="CL476" s="67"/>
      <c r="CM476" s="67"/>
      <c r="CN476" s="67"/>
      <c r="CO476" s="67"/>
      <c r="CP476" s="67"/>
      <c r="CQ476" s="67"/>
      <c r="CR476" s="67"/>
      <c r="CS476" s="68"/>
      <c r="CT476" s="68"/>
      <c r="CU476" s="68"/>
      <c r="CV476" s="68"/>
      <c r="CW476" s="69"/>
      <c r="CX476" s="69"/>
      <c r="CY476" s="7"/>
      <c r="CZ476" s="7"/>
    </row>
    <row r="477" spans="90:104" x14ac:dyDescent="0.25">
      <c r="CL477" s="67"/>
      <c r="CM477" s="67"/>
      <c r="CN477" s="67"/>
      <c r="CO477" s="67"/>
      <c r="CP477" s="67"/>
      <c r="CQ477" s="70"/>
      <c r="CR477" s="67"/>
      <c r="CS477" s="68"/>
      <c r="CT477" s="68"/>
      <c r="CU477" s="68"/>
      <c r="CV477" s="68"/>
      <c r="CW477" s="69"/>
      <c r="CX477" s="69"/>
      <c r="CY477" s="7"/>
      <c r="CZ477" s="7"/>
    </row>
    <row r="478" spans="90:104" x14ac:dyDescent="0.25">
      <c r="CL478" s="67"/>
      <c r="CM478" s="67"/>
      <c r="CN478" s="67"/>
      <c r="CO478" s="67"/>
      <c r="CP478" s="67"/>
      <c r="CQ478" s="70"/>
      <c r="CR478" s="67"/>
      <c r="CS478" s="70"/>
      <c r="CT478" s="68"/>
      <c r="CU478" s="68"/>
      <c r="CV478" s="68"/>
      <c r="CW478" s="69"/>
      <c r="CX478" s="69"/>
      <c r="CY478" s="7"/>
      <c r="CZ478" s="7"/>
    </row>
    <row r="479" spans="90:104" x14ac:dyDescent="0.25">
      <c r="CL479" s="67"/>
      <c r="CM479" s="67"/>
      <c r="CN479" s="67"/>
      <c r="CO479" s="67"/>
      <c r="CP479" s="67"/>
      <c r="CQ479" s="70"/>
      <c r="CR479" s="67"/>
      <c r="CS479" s="70"/>
      <c r="CT479" s="68"/>
      <c r="CU479" s="68"/>
      <c r="CV479" s="68"/>
      <c r="CW479" s="69"/>
      <c r="CX479" s="69"/>
      <c r="CY479" s="7"/>
      <c r="CZ479" s="7"/>
    </row>
    <row r="480" spans="90:104" x14ac:dyDescent="0.25">
      <c r="CL480" s="67"/>
      <c r="CM480" s="67"/>
      <c r="CN480" s="67"/>
      <c r="CO480" s="67"/>
      <c r="CP480" s="67"/>
      <c r="CQ480" s="69"/>
      <c r="CR480" s="78"/>
      <c r="CS480" s="78"/>
      <c r="CT480" s="78"/>
      <c r="CU480" s="68"/>
      <c r="CV480" s="68"/>
      <c r="CW480" s="69"/>
      <c r="CX480" s="69"/>
      <c r="CY480" s="7"/>
      <c r="CZ480" s="7"/>
    </row>
    <row r="481" spans="90:104" x14ac:dyDescent="0.25">
      <c r="CL481" s="67"/>
      <c r="CM481" s="67"/>
      <c r="CN481" s="67"/>
      <c r="CO481" s="67"/>
      <c r="CP481" s="67"/>
      <c r="CQ481" s="69"/>
      <c r="CR481" s="67"/>
      <c r="CS481" s="70"/>
      <c r="CT481" s="68"/>
      <c r="CU481" s="68"/>
      <c r="CV481" s="68"/>
      <c r="CW481" s="69"/>
      <c r="CX481" s="69"/>
      <c r="CY481" s="7"/>
      <c r="CZ481" s="7"/>
    </row>
    <row r="482" spans="90:104" x14ac:dyDescent="0.25">
      <c r="CL482" s="67"/>
      <c r="CM482" s="67"/>
      <c r="CN482" s="67"/>
      <c r="CO482" s="67"/>
      <c r="CP482" s="67"/>
      <c r="CQ482" s="69"/>
      <c r="CR482" s="67"/>
      <c r="CS482" s="68"/>
      <c r="CT482" s="68"/>
      <c r="CU482" s="68"/>
      <c r="CV482" s="68"/>
      <c r="CW482" s="69"/>
      <c r="CX482" s="69"/>
      <c r="CY482" s="7"/>
      <c r="CZ482" s="7"/>
    </row>
    <row r="483" spans="90:104" x14ac:dyDescent="0.25">
      <c r="CL483" s="67"/>
      <c r="CM483" s="67"/>
      <c r="CN483" s="67"/>
      <c r="CO483" s="67"/>
      <c r="CP483" s="67"/>
      <c r="CQ483" s="67"/>
      <c r="CR483" s="67"/>
      <c r="CS483" s="68"/>
      <c r="CT483" s="68"/>
      <c r="CU483" s="68"/>
      <c r="CV483" s="68"/>
      <c r="CW483" s="69"/>
      <c r="CX483" s="69"/>
      <c r="CY483" s="7"/>
      <c r="CZ483" s="7"/>
    </row>
    <row r="484" spans="90:104" x14ac:dyDescent="0.25">
      <c r="CL484" s="67"/>
      <c r="CM484" s="67"/>
      <c r="CN484" s="67"/>
      <c r="CO484" s="67"/>
      <c r="CP484" s="67"/>
      <c r="CQ484" s="69"/>
      <c r="CR484" s="67"/>
      <c r="CS484" s="69"/>
      <c r="CT484" s="68"/>
      <c r="CU484" s="68"/>
      <c r="CV484" s="68"/>
      <c r="CW484" s="69"/>
      <c r="CX484" s="69"/>
      <c r="CY484" s="7"/>
      <c r="CZ484" s="7"/>
    </row>
    <row r="485" spans="90:104" x14ac:dyDescent="0.25">
      <c r="CL485" s="67"/>
      <c r="CM485" s="67"/>
      <c r="CN485" s="67"/>
      <c r="CO485" s="67"/>
      <c r="CP485" s="67"/>
      <c r="CQ485" s="69"/>
      <c r="CR485" s="67"/>
      <c r="CS485" s="69"/>
      <c r="CT485" s="68"/>
      <c r="CU485" s="68"/>
      <c r="CV485" s="68"/>
      <c r="CW485" s="69"/>
      <c r="CX485" s="69"/>
      <c r="CY485" s="7"/>
      <c r="CZ485" s="7"/>
    </row>
    <row r="486" spans="90:104" x14ac:dyDescent="0.25">
      <c r="CL486" s="67"/>
      <c r="CM486" s="67"/>
      <c r="CN486" s="67"/>
      <c r="CO486" s="67"/>
      <c r="CP486" s="67"/>
      <c r="CQ486" s="70"/>
      <c r="CR486" s="76"/>
      <c r="CS486" s="70"/>
      <c r="CT486" s="76"/>
      <c r="CU486" s="68"/>
      <c r="CV486" s="68"/>
      <c r="CW486" s="69"/>
      <c r="CX486" s="69"/>
      <c r="CY486" s="7"/>
      <c r="CZ486" s="7"/>
    </row>
    <row r="487" spans="90:104" x14ac:dyDescent="0.25">
      <c r="CL487" s="67"/>
      <c r="CM487" s="67"/>
      <c r="CN487" s="67"/>
      <c r="CO487" s="67"/>
      <c r="CP487" s="67"/>
      <c r="CQ487" s="69"/>
      <c r="CR487" s="67"/>
      <c r="CS487" s="68"/>
      <c r="CT487" s="68"/>
      <c r="CU487" s="68"/>
      <c r="CV487" s="68"/>
      <c r="CW487" s="69"/>
      <c r="CX487" s="69"/>
      <c r="CY487" s="7"/>
      <c r="CZ487" s="7"/>
    </row>
    <row r="488" spans="90:104" x14ac:dyDescent="0.25">
      <c r="CL488" s="67"/>
      <c r="CM488" s="67"/>
      <c r="CN488" s="67"/>
      <c r="CO488" s="67"/>
      <c r="CP488" s="67"/>
      <c r="CQ488" s="67"/>
      <c r="CR488" s="67"/>
      <c r="CS488" s="68"/>
      <c r="CT488" s="68"/>
      <c r="CU488" s="68"/>
      <c r="CV488" s="68"/>
      <c r="CW488" s="69"/>
      <c r="CX488" s="69"/>
      <c r="CY488" s="7"/>
      <c r="CZ488" s="7"/>
    </row>
    <row r="489" spans="90:104" x14ac:dyDescent="0.25">
      <c r="CL489" s="67"/>
      <c r="CM489" s="67"/>
      <c r="CN489" s="67"/>
      <c r="CO489" s="67"/>
      <c r="CP489" s="67"/>
      <c r="CQ489" s="70"/>
      <c r="CR489" s="67"/>
      <c r="CS489" s="70"/>
      <c r="CT489" s="68"/>
      <c r="CU489" s="68"/>
      <c r="CV489" s="68"/>
      <c r="CW489" s="69"/>
      <c r="CX489" s="69"/>
      <c r="CY489" s="7"/>
      <c r="CZ489" s="7"/>
    </row>
    <row r="490" spans="90:104" x14ac:dyDescent="0.25">
      <c r="CL490" s="67"/>
      <c r="CM490" s="67"/>
      <c r="CN490" s="67"/>
      <c r="CO490" s="67"/>
      <c r="CP490" s="67"/>
      <c r="CQ490" s="70"/>
      <c r="CR490" s="78"/>
      <c r="CS490" s="70"/>
      <c r="CT490" s="78"/>
      <c r="CU490" s="68"/>
      <c r="CV490" s="68"/>
      <c r="CW490" s="69"/>
      <c r="CX490" s="69"/>
      <c r="CY490" s="7"/>
      <c r="CZ490" s="7"/>
    </row>
    <row r="491" spans="90:104" x14ac:dyDescent="0.25">
      <c r="CL491" s="67"/>
      <c r="CM491" s="67"/>
      <c r="CN491" s="67"/>
      <c r="CO491" s="67"/>
      <c r="CP491" s="67"/>
      <c r="CQ491" s="69"/>
      <c r="CR491" s="67"/>
      <c r="CS491" s="68"/>
      <c r="CT491" s="68"/>
      <c r="CU491" s="68"/>
      <c r="CV491" s="68"/>
      <c r="CW491" s="69"/>
      <c r="CX491" s="69"/>
      <c r="CY491" s="7"/>
      <c r="CZ491" s="7"/>
    </row>
    <row r="492" spans="90:104" x14ac:dyDescent="0.25">
      <c r="CL492" s="67"/>
      <c r="CM492" s="67"/>
      <c r="CN492" s="67"/>
      <c r="CO492" s="67"/>
      <c r="CP492" s="67"/>
      <c r="CQ492" s="69"/>
      <c r="CR492" s="67"/>
      <c r="CS492" s="69"/>
      <c r="CT492" s="68"/>
      <c r="CU492" s="69"/>
      <c r="CV492" s="68"/>
      <c r="CW492" s="69"/>
      <c r="CX492" s="69"/>
      <c r="CY492" s="7"/>
      <c r="CZ492" s="7"/>
    </row>
    <row r="493" spans="90:104" x14ac:dyDescent="0.25">
      <c r="CL493" s="67"/>
      <c r="CM493" s="67"/>
      <c r="CN493" s="67"/>
      <c r="CO493" s="67"/>
      <c r="CP493" s="67"/>
      <c r="CQ493" s="69"/>
      <c r="CR493" s="67"/>
      <c r="CS493" s="69"/>
      <c r="CT493" s="68"/>
      <c r="CU493" s="69"/>
      <c r="CV493" s="68"/>
      <c r="CW493" s="69"/>
      <c r="CX493" s="69"/>
      <c r="CY493" s="7"/>
      <c r="CZ493" s="7"/>
    </row>
    <row r="494" spans="90:104" x14ac:dyDescent="0.25">
      <c r="CL494" s="67"/>
      <c r="CM494" s="67"/>
      <c r="CN494" s="67"/>
      <c r="CO494" s="67"/>
      <c r="CP494" s="67"/>
      <c r="CQ494" s="70"/>
      <c r="CR494" s="67"/>
      <c r="CS494" s="68"/>
      <c r="CT494" s="68"/>
      <c r="CU494" s="68"/>
      <c r="CV494" s="68"/>
      <c r="CW494" s="69"/>
      <c r="CX494" s="69"/>
      <c r="CY494" s="7"/>
      <c r="CZ494" s="7"/>
    </row>
    <row r="495" spans="90:104" x14ac:dyDescent="0.25">
      <c r="CL495" s="67"/>
      <c r="CM495" s="67"/>
      <c r="CN495" s="67"/>
      <c r="CO495" s="67"/>
      <c r="CP495" s="67"/>
      <c r="CQ495" s="67"/>
      <c r="CR495" s="67"/>
      <c r="CS495" s="68"/>
      <c r="CT495" s="68"/>
      <c r="CU495" s="68"/>
      <c r="CV495" s="68"/>
      <c r="CW495" s="69"/>
      <c r="CX495" s="69"/>
      <c r="CY495" s="7"/>
      <c r="CZ495" s="7"/>
    </row>
    <row r="496" spans="90:104" x14ac:dyDescent="0.25">
      <c r="CL496" s="67"/>
      <c r="CM496" s="67"/>
      <c r="CN496" s="67"/>
      <c r="CO496" s="67"/>
      <c r="CP496" s="67"/>
      <c r="CQ496" s="70"/>
      <c r="CR496" s="67"/>
      <c r="CS496" s="68"/>
      <c r="CT496" s="68"/>
      <c r="CU496" s="68"/>
      <c r="CV496" s="68"/>
      <c r="CW496" s="69"/>
      <c r="CX496" s="69"/>
      <c r="CY496" s="7"/>
      <c r="CZ496" s="7"/>
    </row>
    <row r="497" spans="90:104" x14ac:dyDescent="0.25">
      <c r="CL497" s="67"/>
      <c r="CM497" s="67"/>
      <c r="CN497" s="67"/>
      <c r="CO497" s="67"/>
      <c r="CP497" s="67"/>
      <c r="CQ497" s="70"/>
      <c r="CR497" s="67"/>
      <c r="CS497" s="70"/>
      <c r="CT497" s="68"/>
      <c r="CU497" s="68"/>
      <c r="CV497" s="68"/>
      <c r="CW497" s="69"/>
      <c r="CX497" s="69"/>
      <c r="CY497" s="7"/>
      <c r="CZ497" s="7"/>
    </row>
    <row r="498" spans="90:104" x14ac:dyDescent="0.25">
      <c r="CL498" s="67"/>
      <c r="CM498" s="67"/>
      <c r="CN498" s="67"/>
      <c r="CO498" s="67"/>
      <c r="CP498" s="67"/>
      <c r="CQ498" s="70"/>
      <c r="CR498" s="67"/>
      <c r="CS498" s="70"/>
      <c r="CT498" s="68"/>
      <c r="CU498" s="68"/>
      <c r="CV498" s="68"/>
      <c r="CW498" s="69"/>
      <c r="CX498" s="69"/>
      <c r="CY498" s="7"/>
      <c r="CZ498" s="7"/>
    </row>
    <row r="499" spans="90:104" x14ac:dyDescent="0.25">
      <c r="CL499" s="67"/>
      <c r="CM499" s="67"/>
      <c r="CN499" s="67"/>
      <c r="CO499" s="67"/>
      <c r="CP499" s="67"/>
      <c r="CQ499" s="70"/>
      <c r="CR499" s="67"/>
      <c r="CS499" s="70"/>
      <c r="CT499" s="68"/>
      <c r="CU499" s="68"/>
      <c r="CV499" s="68"/>
      <c r="CW499" s="69"/>
      <c r="CX499" s="69"/>
      <c r="CY499" s="7"/>
      <c r="CZ499" s="7"/>
    </row>
    <row r="500" spans="90:104" x14ac:dyDescent="0.25">
      <c r="CL500" s="67"/>
      <c r="CM500" s="67"/>
      <c r="CN500" s="67"/>
      <c r="CO500" s="67"/>
      <c r="CP500" s="67"/>
      <c r="CQ500" s="70"/>
      <c r="CR500" s="67"/>
      <c r="CS500" s="70"/>
      <c r="CT500" s="68"/>
      <c r="CU500" s="68"/>
      <c r="CV500" s="68"/>
      <c r="CW500" s="69"/>
      <c r="CX500" s="69"/>
      <c r="CY500" s="7"/>
      <c r="CZ500" s="7"/>
    </row>
    <row r="501" spans="90:104" x14ac:dyDescent="0.25">
      <c r="CL501" s="67"/>
      <c r="CM501" s="67"/>
      <c r="CN501" s="67"/>
      <c r="CO501" s="67"/>
      <c r="CP501" s="67"/>
      <c r="CQ501" s="70"/>
      <c r="CR501" s="67"/>
      <c r="CS501" s="68"/>
      <c r="CT501" s="68"/>
      <c r="CU501" s="68"/>
      <c r="CV501" s="68"/>
      <c r="CW501" s="69"/>
      <c r="CX501" s="69"/>
      <c r="CY501" s="7"/>
      <c r="CZ501" s="7"/>
    </row>
    <row r="502" spans="90:104" x14ac:dyDescent="0.25">
      <c r="CL502" s="67"/>
      <c r="CM502" s="67"/>
      <c r="CN502" s="67"/>
      <c r="CO502" s="67"/>
      <c r="CP502" s="67"/>
      <c r="CQ502" s="70"/>
      <c r="CR502" s="67"/>
      <c r="CS502" s="68"/>
      <c r="CT502" s="68"/>
      <c r="CU502" s="68"/>
      <c r="CV502" s="68"/>
      <c r="CW502" s="69"/>
      <c r="CX502" s="69"/>
      <c r="CY502" s="7"/>
      <c r="CZ502" s="7"/>
    </row>
    <row r="503" spans="90:104" x14ac:dyDescent="0.25">
      <c r="CL503" s="67"/>
      <c r="CM503" s="67"/>
      <c r="CN503" s="67"/>
      <c r="CO503" s="67"/>
      <c r="CP503" s="67"/>
      <c r="CQ503" s="67"/>
      <c r="CR503" s="67"/>
      <c r="CS503" s="68"/>
      <c r="CT503" s="68"/>
      <c r="CU503" s="68"/>
      <c r="CV503" s="68"/>
      <c r="CW503" s="69"/>
      <c r="CX503" s="69"/>
      <c r="CY503" s="7"/>
      <c r="CZ503" s="7"/>
    </row>
    <row r="504" spans="90:104" x14ac:dyDescent="0.25">
      <c r="CL504" s="67"/>
      <c r="CM504" s="67"/>
      <c r="CN504" s="67"/>
      <c r="CO504" s="67"/>
      <c r="CP504" s="67"/>
      <c r="CQ504" s="67"/>
      <c r="CR504" s="67"/>
      <c r="CS504" s="68"/>
      <c r="CT504" s="68"/>
      <c r="CU504" s="68"/>
      <c r="CV504" s="68"/>
      <c r="CW504" s="69"/>
      <c r="CX504" s="69"/>
      <c r="CY504" s="7"/>
      <c r="CZ504" s="7"/>
    </row>
    <row r="505" spans="90:104" x14ac:dyDescent="0.25">
      <c r="CL505" s="67"/>
      <c r="CM505" s="67"/>
      <c r="CN505" s="67"/>
      <c r="CO505" s="67"/>
      <c r="CP505" s="67"/>
      <c r="CQ505" s="69"/>
      <c r="CR505" s="67"/>
      <c r="CS505" s="70"/>
      <c r="CT505" s="68"/>
      <c r="CU505" s="68"/>
      <c r="CV505" s="68"/>
      <c r="CW505" s="69"/>
      <c r="CX505" s="69"/>
      <c r="CY505" s="7"/>
      <c r="CZ505" s="7"/>
    </row>
    <row r="506" spans="90:104" x14ac:dyDescent="0.25">
      <c r="CL506" s="67"/>
      <c r="CM506" s="67"/>
      <c r="CN506" s="67"/>
      <c r="CO506" s="67"/>
      <c r="CP506" s="67"/>
      <c r="CQ506" s="67"/>
      <c r="CR506" s="67"/>
      <c r="CS506" s="68"/>
      <c r="CT506" s="68"/>
      <c r="CU506" s="68"/>
      <c r="CV506" s="68"/>
      <c r="CW506" s="69"/>
      <c r="CX506" s="69"/>
      <c r="CY506" s="7"/>
      <c r="CZ506" s="7"/>
    </row>
    <row r="507" spans="90:104" x14ac:dyDescent="0.25">
      <c r="CL507" s="67"/>
      <c r="CM507" s="67"/>
      <c r="CN507" s="67"/>
      <c r="CO507" s="67"/>
      <c r="CP507" s="67"/>
      <c r="CQ507" s="79"/>
      <c r="CR507" s="80"/>
      <c r="CS507" s="71"/>
      <c r="CT507" s="71"/>
      <c r="CU507" s="71"/>
      <c r="CV507" s="71"/>
      <c r="CW507" s="69"/>
      <c r="CX507" s="69"/>
      <c r="CY507" s="7"/>
      <c r="CZ507" s="7"/>
    </row>
    <row r="508" spans="90:104" x14ac:dyDescent="0.25">
      <c r="CL508" s="67"/>
      <c r="CM508" s="67"/>
      <c r="CN508" s="67"/>
      <c r="CO508" s="67"/>
      <c r="CP508" s="67"/>
      <c r="CQ508" s="69"/>
      <c r="CR508" s="67"/>
      <c r="CS508" s="71"/>
      <c r="CT508" s="71"/>
      <c r="CU508" s="71"/>
      <c r="CV508" s="71"/>
      <c r="CW508" s="69"/>
      <c r="CX508" s="69"/>
      <c r="CY508" s="7"/>
      <c r="CZ508" s="7"/>
    </row>
    <row r="509" spans="90:104" x14ac:dyDescent="0.25">
      <c r="CL509" s="67"/>
      <c r="CM509" s="67"/>
      <c r="CN509" s="67"/>
      <c r="CO509" s="67"/>
      <c r="CP509" s="67"/>
      <c r="CQ509" s="67"/>
      <c r="CR509" s="67"/>
      <c r="CS509" s="68"/>
      <c r="CT509" s="68"/>
      <c r="CU509" s="68"/>
      <c r="CV509" s="68"/>
      <c r="CW509" s="69"/>
      <c r="CX509" s="69"/>
      <c r="CY509" s="7"/>
      <c r="CZ509" s="7"/>
    </row>
    <row r="510" spans="90:104" x14ac:dyDescent="0.25">
      <c r="CL510" s="67"/>
      <c r="CM510" s="67"/>
      <c r="CN510" s="67"/>
      <c r="CO510" s="67"/>
      <c r="CP510" s="67"/>
      <c r="CQ510" s="69"/>
      <c r="CR510" s="67"/>
      <c r="CS510" s="68"/>
      <c r="CT510" s="68"/>
      <c r="CU510" s="68"/>
      <c r="CV510" s="68"/>
      <c r="CW510" s="69"/>
      <c r="CX510" s="69"/>
      <c r="CY510" s="7"/>
      <c r="CZ510" s="7"/>
    </row>
    <row r="511" spans="90:104" x14ac:dyDescent="0.25">
      <c r="CL511" s="67"/>
      <c r="CM511" s="67"/>
      <c r="CN511" s="67"/>
      <c r="CO511" s="67"/>
      <c r="CP511" s="67"/>
      <c r="CQ511" s="69"/>
      <c r="CR511" s="67"/>
      <c r="CS511" s="69"/>
      <c r="CT511" s="68"/>
      <c r="CU511" s="68"/>
      <c r="CV511" s="68"/>
      <c r="CW511" s="69"/>
      <c r="CX511" s="69"/>
      <c r="CY511" s="7"/>
      <c r="CZ511" s="7"/>
    </row>
    <row r="512" spans="90:104" x14ac:dyDescent="0.25">
      <c r="CL512" s="67"/>
      <c r="CM512" s="67"/>
      <c r="CN512" s="67"/>
      <c r="CO512" s="67"/>
      <c r="CP512" s="67"/>
      <c r="CQ512" s="69"/>
      <c r="CR512" s="67"/>
      <c r="CS512" s="69"/>
      <c r="CT512" s="68"/>
      <c r="CU512" s="69"/>
      <c r="CV512" s="68"/>
      <c r="CW512" s="69"/>
      <c r="CX512" s="69"/>
      <c r="CY512" s="7"/>
      <c r="CZ512" s="7"/>
    </row>
    <row r="513" spans="90:104" x14ac:dyDescent="0.25">
      <c r="CL513" s="67"/>
      <c r="CM513" s="67"/>
      <c r="CN513" s="67"/>
      <c r="CO513" s="67"/>
      <c r="CP513" s="67"/>
      <c r="CQ513" s="69"/>
      <c r="CR513" s="67"/>
      <c r="CS513" s="69"/>
      <c r="CT513" s="68"/>
      <c r="CU513" s="69"/>
      <c r="CV513" s="68"/>
      <c r="CW513" s="69"/>
      <c r="CX513" s="69"/>
      <c r="CY513" s="7"/>
      <c r="CZ513" s="7"/>
    </row>
    <row r="514" spans="90:104" x14ac:dyDescent="0.25">
      <c r="CL514" s="67"/>
      <c r="CM514" s="67"/>
      <c r="CN514" s="67"/>
      <c r="CO514" s="67"/>
      <c r="CP514" s="67"/>
      <c r="CQ514" s="69"/>
      <c r="CR514" s="67"/>
      <c r="CS514" s="69"/>
      <c r="CT514" s="68"/>
      <c r="CU514" s="69"/>
      <c r="CV514" s="68"/>
      <c r="CW514" s="69"/>
      <c r="CX514" s="69"/>
      <c r="CY514" s="7"/>
      <c r="CZ514" s="7"/>
    </row>
    <row r="515" spans="90:104" x14ac:dyDescent="0.25">
      <c r="CL515" s="67"/>
      <c r="CM515" s="67"/>
      <c r="CN515" s="67"/>
      <c r="CO515" s="67"/>
      <c r="CP515" s="67"/>
      <c r="CQ515" s="69"/>
      <c r="CR515" s="67"/>
      <c r="CS515" s="69"/>
      <c r="CT515" s="68"/>
      <c r="CU515" s="69"/>
      <c r="CV515" s="68"/>
      <c r="CW515" s="69"/>
      <c r="CX515" s="69"/>
      <c r="CY515" s="7"/>
      <c r="CZ515" s="7"/>
    </row>
    <row r="516" spans="90:104" x14ac:dyDescent="0.25">
      <c r="CL516" s="67"/>
      <c r="CM516" s="67"/>
      <c r="CN516" s="67"/>
      <c r="CO516" s="67"/>
      <c r="CP516" s="67"/>
      <c r="CQ516" s="69"/>
      <c r="CR516" s="67"/>
      <c r="CS516" s="69"/>
      <c r="CT516" s="68"/>
      <c r="CU516" s="69"/>
      <c r="CV516" s="68"/>
      <c r="CW516" s="69"/>
      <c r="CX516" s="69"/>
      <c r="CY516" s="7"/>
      <c r="CZ516" s="7"/>
    </row>
    <row r="517" spans="90:104" x14ac:dyDescent="0.25">
      <c r="CL517" s="67"/>
      <c r="CM517" s="67"/>
      <c r="CN517" s="67"/>
      <c r="CO517" s="67"/>
      <c r="CP517" s="67"/>
      <c r="CQ517" s="79"/>
      <c r="CR517" s="80"/>
      <c r="CS517" s="71"/>
      <c r="CT517" s="71"/>
      <c r="CU517" s="71"/>
      <c r="CV517" s="71"/>
      <c r="CW517" s="69"/>
      <c r="CX517" s="69"/>
      <c r="CY517" s="7"/>
      <c r="CZ517" s="7"/>
    </row>
    <row r="518" spans="90:104" x14ac:dyDescent="0.25">
      <c r="CL518" s="67"/>
      <c r="CM518" s="67"/>
      <c r="CN518" s="67"/>
      <c r="CO518" s="67"/>
      <c r="CP518" s="67"/>
      <c r="CQ518" s="67"/>
      <c r="CR518" s="67"/>
      <c r="CS518" s="68"/>
      <c r="CT518" s="68"/>
      <c r="CU518" s="68"/>
      <c r="CV518" s="68"/>
      <c r="CW518" s="69"/>
      <c r="CX518" s="69"/>
      <c r="CY518" s="7"/>
      <c r="CZ518" s="7"/>
    </row>
    <row r="519" spans="90:104" x14ac:dyDescent="0.25">
      <c r="CL519" s="67"/>
      <c r="CM519" s="67"/>
      <c r="CN519" s="67"/>
      <c r="CO519" s="67"/>
      <c r="CP519" s="73"/>
      <c r="CQ519" s="70"/>
      <c r="CR519" s="67"/>
      <c r="CS519" s="68"/>
      <c r="CT519" s="68"/>
      <c r="CU519" s="68"/>
      <c r="CV519" s="68"/>
      <c r="CW519" s="69"/>
      <c r="CX519" s="69"/>
      <c r="CY519" s="7"/>
      <c r="CZ519" s="7"/>
    </row>
    <row r="520" spans="90:104" x14ac:dyDescent="0.25">
      <c r="CL520" s="67"/>
      <c r="CM520" s="73"/>
      <c r="CN520" s="73"/>
      <c r="CO520" s="73"/>
      <c r="CP520" s="67"/>
      <c r="CQ520" s="70"/>
      <c r="CR520" s="67"/>
      <c r="CS520" s="68"/>
      <c r="CT520" s="68"/>
      <c r="CU520" s="68"/>
      <c r="CV520" s="68"/>
      <c r="CW520" s="69"/>
      <c r="CX520" s="69"/>
      <c r="CY520" s="7"/>
      <c r="CZ520" s="7"/>
    </row>
    <row r="521" spans="90:104" x14ac:dyDescent="0.25">
      <c r="CL521" s="67"/>
      <c r="CM521" s="67"/>
      <c r="CN521" s="67"/>
      <c r="CO521" s="67"/>
      <c r="CP521" s="67"/>
      <c r="CQ521" s="70"/>
      <c r="CR521" s="67"/>
      <c r="CS521" s="70"/>
      <c r="CT521" s="68"/>
      <c r="CU521" s="68"/>
      <c r="CV521" s="68"/>
      <c r="CW521" s="69"/>
      <c r="CX521" s="69"/>
      <c r="CY521" s="7"/>
      <c r="CZ521" s="7"/>
    </row>
    <row r="522" spans="90:104" x14ac:dyDescent="0.25">
      <c r="CL522" s="67"/>
      <c r="CM522" s="67"/>
      <c r="CN522" s="67"/>
      <c r="CO522" s="67"/>
      <c r="CP522" s="67"/>
      <c r="CQ522" s="70"/>
      <c r="CR522" s="67"/>
      <c r="CS522" s="70"/>
      <c r="CT522" s="68"/>
      <c r="CU522" s="70"/>
      <c r="CV522" s="68"/>
      <c r="CW522" s="69"/>
      <c r="CX522" s="69"/>
      <c r="CY522" s="7"/>
      <c r="CZ522" s="7"/>
    </row>
    <row r="523" spans="90:104" x14ac:dyDescent="0.25">
      <c r="CL523" s="67"/>
      <c r="CM523" s="67"/>
      <c r="CN523" s="67"/>
      <c r="CO523" s="73"/>
      <c r="CP523" s="67"/>
      <c r="CQ523" s="79"/>
      <c r="CR523" s="80"/>
      <c r="CS523" s="71"/>
      <c r="CT523" s="71"/>
      <c r="CU523" s="71"/>
      <c r="CV523" s="71"/>
      <c r="CW523" s="69"/>
      <c r="CX523" s="69"/>
      <c r="CY523" s="7"/>
      <c r="CZ523" s="7"/>
    </row>
    <row r="524" spans="90:104" x14ac:dyDescent="0.25">
      <c r="CL524" s="67"/>
      <c r="CM524" s="67"/>
      <c r="CN524" s="67"/>
      <c r="CO524" s="67"/>
      <c r="CP524" s="67"/>
      <c r="CQ524" s="69"/>
      <c r="CR524" s="67"/>
      <c r="CS524" s="68"/>
      <c r="CT524" s="68"/>
      <c r="CU524" s="68"/>
      <c r="CV524" s="68"/>
      <c r="CW524" s="69"/>
      <c r="CX524" s="69"/>
      <c r="CY524" s="7"/>
      <c r="CZ524" s="7"/>
    </row>
    <row r="525" spans="90:104" x14ac:dyDescent="0.25">
      <c r="CL525" s="67"/>
      <c r="CM525" s="67"/>
      <c r="CN525" s="67"/>
      <c r="CO525" s="67"/>
      <c r="CP525" s="67"/>
      <c r="CQ525" s="69"/>
      <c r="CR525" s="67"/>
      <c r="CS525" s="69"/>
      <c r="CT525" s="68"/>
      <c r="CU525" s="69"/>
      <c r="CV525" s="68"/>
      <c r="CW525" s="69"/>
      <c r="CX525" s="69"/>
      <c r="CY525" s="7"/>
      <c r="CZ525" s="7"/>
    </row>
    <row r="526" spans="90:104" x14ac:dyDescent="0.25">
      <c r="CL526" s="67"/>
      <c r="CM526" s="67"/>
      <c r="CN526" s="67"/>
      <c r="CO526" s="67"/>
      <c r="CP526" s="67"/>
      <c r="CQ526" s="69"/>
      <c r="CR526" s="67"/>
      <c r="CS526" s="69"/>
      <c r="CT526" s="68"/>
      <c r="CU526" s="68"/>
      <c r="CV526" s="68"/>
      <c r="CW526" s="69"/>
      <c r="CX526" s="69"/>
      <c r="CY526" s="7"/>
      <c r="CZ526" s="7"/>
    </row>
    <row r="527" spans="90:104" x14ac:dyDescent="0.25">
      <c r="CL527" s="67"/>
      <c r="CM527" s="67"/>
      <c r="CN527" s="67"/>
      <c r="CO527" s="67"/>
      <c r="CP527" s="67"/>
      <c r="CQ527" s="69"/>
      <c r="CR527" s="67"/>
      <c r="CS527" s="69"/>
      <c r="CT527" s="68"/>
      <c r="CU527" s="68"/>
      <c r="CV527" s="68"/>
      <c r="CW527" s="69"/>
      <c r="CX527" s="69"/>
      <c r="CY527" s="7"/>
      <c r="CZ527" s="7"/>
    </row>
    <row r="528" spans="90:104" x14ac:dyDescent="0.25">
      <c r="CL528" s="67"/>
      <c r="CM528" s="67"/>
      <c r="CN528" s="67"/>
      <c r="CO528" s="67"/>
      <c r="CP528" s="67"/>
      <c r="CQ528" s="69"/>
      <c r="CR528" s="67"/>
      <c r="CS528" s="69"/>
      <c r="CT528" s="68"/>
      <c r="CU528" s="68"/>
      <c r="CV528" s="68"/>
      <c r="CW528" s="69"/>
      <c r="CX528" s="69"/>
      <c r="CY528" s="7"/>
      <c r="CZ528" s="7"/>
    </row>
    <row r="529" spans="90:104" x14ac:dyDescent="0.25">
      <c r="CL529" s="67"/>
      <c r="CM529" s="67"/>
      <c r="CN529" s="67"/>
      <c r="CO529" s="67"/>
      <c r="CP529" s="67"/>
      <c r="CQ529" s="69"/>
      <c r="CR529" s="67"/>
      <c r="CS529" s="69"/>
      <c r="CT529" s="68"/>
      <c r="CU529" s="69"/>
      <c r="CV529" s="68"/>
      <c r="CW529" s="69"/>
      <c r="CX529" s="69"/>
      <c r="CY529" s="7"/>
      <c r="CZ529" s="7"/>
    </row>
    <row r="530" spans="90:104" x14ac:dyDescent="0.25">
      <c r="CL530" s="67"/>
      <c r="CM530" s="67"/>
      <c r="CN530" s="67"/>
      <c r="CO530" s="67"/>
      <c r="CP530" s="67"/>
      <c r="CQ530" s="79"/>
      <c r="CR530" s="80"/>
      <c r="CS530" s="71"/>
      <c r="CT530" s="71"/>
      <c r="CU530" s="71"/>
      <c r="CV530" s="71"/>
      <c r="CW530" s="69"/>
      <c r="CX530" s="69"/>
      <c r="CY530" s="7"/>
      <c r="CZ530" s="7"/>
    </row>
    <row r="531" spans="90:104" x14ac:dyDescent="0.25">
      <c r="CL531" s="67"/>
      <c r="CM531" s="67"/>
      <c r="CN531" s="67"/>
      <c r="CO531" s="67"/>
      <c r="CP531" s="67"/>
      <c r="CQ531" s="69"/>
      <c r="CR531" s="67"/>
      <c r="CS531" s="71"/>
      <c r="CT531" s="71"/>
      <c r="CU531" s="71"/>
      <c r="CV531" s="71"/>
      <c r="CW531" s="69"/>
      <c r="CX531" s="69"/>
      <c r="CY531" s="7"/>
      <c r="CZ531" s="7"/>
    </row>
    <row r="532" spans="90:104" x14ac:dyDescent="0.25">
      <c r="CL532" s="67"/>
      <c r="CM532" s="67"/>
      <c r="CN532" s="67"/>
      <c r="CO532" s="67"/>
      <c r="CP532" s="67"/>
      <c r="CQ532" s="67"/>
      <c r="CR532" s="67"/>
      <c r="CS532" s="68"/>
      <c r="CT532" s="68"/>
      <c r="CU532" s="68"/>
      <c r="CV532" s="68"/>
      <c r="CW532" s="69"/>
      <c r="CX532" s="69"/>
      <c r="CY532" s="7"/>
      <c r="CZ532" s="7"/>
    </row>
    <row r="533" spans="90:104" x14ac:dyDescent="0.25">
      <c r="CL533" s="67"/>
      <c r="CM533" s="67"/>
      <c r="CN533" s="67"/>
      <c r="CO533" s="67"/>
      <c r="CP533" s="73"/>
      <c r="CQ533" s="70"/>
      <c r="CR533" s="67"/>
      <c r="CS533" s="68"/>
      <c r="CT533" s="68"/>
      <c r="CU533" s="68"/>
      <c r="CV533" s="68"/>
      <c r="CW533" s="69"/>
      <c r="CX533" s="69"/>
      <c r="CY533" s="7"/>
      <c r="CZ533" s="7"/>
    </row>
    <row r="534" spans="90:104" x14ac:dyDescent="0.25">
      <c r="CL534" s="67"/>
      <c r="CM534" s="67"/>
      <c r="CN534" s="67"/>
      <c r="CO534" s="67"/>
      <c r="CP534" s="67"/>
      <c r="CQ534" s="70"/>
      <c r="CR534" s="67"/>
      <c r="CS534" s="68"/>
      <c r="CT534" s="68"/>
      <c r="CU534" s="68"/>
      <c r="CV534" s="68"/>
      <c r="CW534" s="69"/>
      <c r="CX534" s="69"/>
      <c r="CY534" s="7"/>
      <c r="CZ534" s="7"/>
    </row>
    <row r="535" spans="90:104" x14ac:dyDescent="0.25">
      <c r="CL535" s="67"/>
      <c r="CM535" s="67"/>
      <c r="CN535" s="67"/>
      <c r="CO535" s="67"/>
      <c r="CP535" s="67"/>
      <c r="CQ535" s="69"/>
      <c r="CR535" s="67"/>
      <c r="CS535" s="68"/>
      <c r="CT535" s="68"/>
      <c r="CU535" s="68"/>
      <c r="CV535" s="68"/>
      <c r="CW535" s="69"/>
      <c r="CX535" s="69"/>
      <c r="CY535" s="7"/>
      <c r="CZ535" s="7"/>
    </row>
    <row r="536" spans="90:104" x14ac:dyDescent="0.25">
      <c r="CL536" s="67"/>
      <c r="CM536" s="67"/>
      <c r="CN536" s="67"/>
      <c r="CO536" s="67"/>
      <c r="CP536" s="67"/>
      <c r="CQ536" s="69"/>
      <c r="CR536" s="67"/>
      <c r="CS536" s="69"/>
      <c r="CT536" s="68"/>
      <c r="CU536" s="68"/>
      <c r="CV536" s="68"/>
      <c r="CW536" s="69"/>
      <c r="CX536" s="69"/>
      <c r="CY536" s="7"/>
      <c r="CZ536" s="7"/>
    </row>
    <row r="537" spans="90:104" x14ac:dyDescent="0.25">
      <c r="CL537" s="67"/>
      <c r="CM537" s="67"/>
      <c r="CN537" s="67"/>
      <c r="CO537" s="67"/>
      <c r="CP537" s="67"/>
      <c r="CQ537" s="69"/>
      <c r="CR537" s="67"/>
      <c r="CS537" s="69"/>
      <c r="CT537" s="68"/>
      <c r="CU537" s="69"/>
      <c r="CV537" s="68"/>
      <c r="CW537" s="69"/>
      <c r="CX537" s="69"/>
      <c r="CY537" s="7"/>
      <c r="CZ537" s="7"/>
    </row>
    <row r="538" spans="90:104" x14ac:dyDescent="0.25">
      <c r="CL538" s="67"/>
      <c r="CM538" s="67"/>
      <c r="CN538" s="67"/>
      <c r="CO538" s="67"/>
      <c r="CP538" s="67"/>
      <c r="CQ538" s="69"/>
      <c r="CR538" s="67"/>
      <c r="CS538" s="69"/>
      <c r="CT538" s="68"/>
      <c r="CU538" s="69"/>
      <c r="CV538" s="68"/>
      <c r="CW538" s="69"/>
      <c r="CX538" s="69"/>
      <c r="CY538" s="7"/>
      <c r="CZ538" s="7"/>
    </row>
    <row r="539" spans="90:104" x14ac:dyDescent="0.25">
      <c r="CL539" s="67"/>
      <c r="CM539" s="67"/>
      <c r="CN539" s="67"/>
      <c r="CO539" s="67"/>
      <c r="CP539" s="67"/>
      <c r="CQ539" s="69"/>
      <c r="CR539" s="67"/>
      <c r="CS539" s="69"/>
      <c r="CT539" s="68"/>
      <c r="CU539" s="69"/>
      <c r="CV539" s="68"/>
      <c r="CW539" s="69"/>
      <c r="CX539" s="69"/>
      <c r="CY539" s="7"/>
      <c r="CZ539" s="7"/>
    </row>
    <row r="540" spans="90:104" x14ac:dyDescent="0.25">
      <c r="CL540" s="67"/>
      <c r="CM540" s="67"/>
      <c r="CN540" s="67"/>
      <c r="CO540" s="67"/>
      <c r="CP540" s="67"/>
      <c r="CQ540" s="69"/>
      <c r="CR540" s="67"/>
      <c r="CS540" s="69"/>
      <c r="CT540" s="68"/>
      <c r="CU540" s="69"/>
      <c r="CV540" s="68"/>
      <c r="CW540" s="69"/>
      <c r="CX540" s="69"/>
      <c r="CY540" s="7"/>
      <c r="CZ540" s="7"/>
    </row>
    <row r="541" spans="90:104" x14ac:dyDescent="0.25">
      <c r="CL541" s="67"/>
      <c r="CM541" s="67"/>
      <c r="CN541" s="67"/>
      <c r="CO541" s="67"/>
      <c r="CP541" s="67"/>
      <c r="CQ541" s="69"/>
      <c r="CR541" s="67"/>
      <c r="CS541" s="69"/>
      <c r="CT541" s="68"/>
      <c r="CU541" s="69"/>
      <c r="CV541" s="68"/>
      <c r="CW541" s="69"/>
      <c r="CX541" s="69"/>
      <c r="CY541" s="7"/>
      <c r="CZ541" s="7"/>
    </row>
    <row r="542" spans="90:104" x14ac:dyDescent="0.25">
      <c r="CL542" s="67"/>
      <c r="CM542" s="67"/>
      <c r="CN542" s="67"/>
      <c r="CO542" s="67"/>
      <c r="CP542" s="67"/>
      <c r="CQ542" s="79"/>
      <c r="CR542" s="80"/>
      <c r="CS542" s="71"/>
      <c r="CT542" s="71"/>
      <c r="CU542" s="71"/>
      <c r="CV542" s="71"/>
      <c r="CW542" s="69"/>
      <c r="CX542" s="69"/>
      <c r="CY542" s="7"/>
      <c r="CZ542" s="7"/>
    </row>
    <row r="543" spans="90:104" x14ac:dyDescent="0.25">
      <c r="CL543" s="67"/>
      <c r="CM543" s="67"/>
      <c r="CN543" s="67"/>
      <c r="CO543" s="67"/>
      <c r="CP543" s="67"/>
      <c r="CQ543" s="67"/>
      <c r="CR543" s="67"/>
      <c r="CS543" s="68"/>
      <c r="CT543" s="68"/>
      <c r="CU543" s="68"/>
      <c r="CV543" s="68"/>
      <c r="CW543" s="69"/>
      <c r="CX543" s="69"/>
      <c r="CY543" s="7"/>
      <c r="CZ543" s="7"/>
    </row>
    <row r="544" spans="90:104" x14ac:dyDescent="0.25">
      <c r="CL544" s="67"/>
      <c r="CM544" s="67"/>
      <c r="CN544" s="67"/>
      <c r="CO544" s="67"/>
      <c r="CP544" s="73"/>
      <c r="CQ544" s="70"/>
      <c r="CR544" s="67"/>
      <c r="CS544" s="68"/>
      <c r="CT544" s="68"/>
      <c r="CU544" s="68"/>
      <c r="CV544" s="68"/>
      <c r="CW544" s="69"/>
      <c r="CX544" s="69"/>
      <c r="CY544" s="7"/>
      <c r="CZ544" s="7"/>
    </row>
    <row r="545" spans="90:104" x14ac:dyDescent="0.25">
      <c r="CL545" s="67"/>
      <c r="CM545" s="67"/>
      <c r="CN545" s="67"/>
      <c r="CO545" s="67"/>
      <c r="CP545" s="73"/>
      <c r="CQ545" s="70"/>
      <c r="CR545" s="67"/>
      <c r="CS545" s="68"/>
      <c r="CT545" s="68"/>
      <c r="CU545" s="68"/>
      <c r="CV545" s="68"/>
      <c r="CW545" s="69"/>
      <c r="CX545" s="69"/>
      <c r="CY545" s="7"/>
      <c r="CZ545" s="7"/>
    </row>
    <row r="546" spans="90:104" x14ac:dyDescent="0.25">
      <c r="CL546" s="67"/>
      <c r="CM546" s="73"/>
      <c r="CN546" s="73"/>
      <c r="CO546" s="73"/>
      <c r="CP546" s="67"/>
      <c r="CQ546" s="70"/>
      <c r="CR546" s="67"/>
      <c r="CS546" s="68"/>
      <c r="CT546" s="68"/>
      <c r="CU546" s="68"/>
      <c r="CV546" s="68"/>
      <c r="CW546" s="69"/>
      <c r="CX546" s="69"/>
      <c r="CY546" s="7"/>
      <c r="CZ546" s="7"/>
    </row>
    <row r="547" spans="90:104" x14ac:dyDescent="0.25">
      <c r="CL547" s="67"/>
      <c r="CM547" s="67"/>
      <c r="CN547" s="67"/>
      <c r="CO547" s="67"/>
      <c r="CP547" s="67"/>
      <c r="CQ547" s="70"/>
      <c r="CR547" s="67"/>
      <c r="CS547" s="70"/>
      <c r="CT547" s="68"/>
      <c r="CU547" s="68"/>
      <c r="CV547" s="68"/>
      <c r="CW547" s="69"/>
      <c r="CX547" s="69"/>
      <c r="CY547" s="7"/>
      <c r="CZ547" s="7"/>
    </row>
    <row r="548" spans="90:104" x14ac:dyDescent="0.25">
      <c r="CL548" s="67"/>
      <c r="CM548" s="67"/>
      <c r="CN548" s="67"/>
      <c r="CO548" s="67"/>
      <c r="CP548" s="67"/>
      <c r="CQ548" s="70"/>
      <c r="CR548" s="67"/>
      <c r="CS548" s="70"/>
      <c r="CT548" s="68"/>
      <c r="CU548" s="70"/>
      <c r="CV548" s="68"/>
      <c r="CW548" s="69"/>
      <c r="CX548" s="69"/>
      <c r="CY548" s="7"/>
      <c r="CZ548" s="7"/>
    </row>
    <row r="549" spans="90:104" x14ac:dyDescent="0.25">
      <c r="CL549" s="67"/>
      <c r="CM549" s="67"/>
      <c r="CN549" s="67"/>
      <c r="CO549" s="73"/>
      <c r="CP549" s="67"/>
      <c r="CQ549" s="79"/>
      <c r="CR549" s="80"/>
      <c r="CS549" s="71"/>
      <c r="CT549" s="71"/>
      <c r="CU549" s="71"/>
      <c r="CV549" s="71"/>
      <c r="CW549" s="69"/>
      <c r="CX549" s="69"/>
      <c r="CY549" s="7"/>
      <c r="CZ549" s="7"/>
    </row>
    <row r="550" spans="90:104" x14ac:dyDescent="0.25">
      <c r="CL550" s="67"/>
      <c r="CM550" s="67"/>
      <c r="CN550" s="67"/>
      <c r="CO550" s="67"/>
      <c r="CP550" s="67"/>
      <c r="CQ550" s="69"/>
      <c r="CR550" s="67"/>
      <c r="CS550" s="69"/>
      <c r="CT550" s="68"/>
      <c r="CU550" s="69"/>
      <c r="CV550" s="68"/>
      <c r="CW550" s="69"/>
      <c r="CX550" s="69"/>
      <c r="CY550" s="7"/>
      <c r="CZ550" s="7"/>
    </row>
    <row r="551" spans="90:104" x14ac:dyDescent="0.25">
      <c r="CL551" s="67"/>
      <c r="CM551" s="67"/>
      <c r="CN551" s="67"/>
      <c r="CO551" s="67"/>
      <c r="CP551" s="67"/>
      <c r="CQ551" s="69"/>
      <c r="CR551" s="67"/>
      <c r="CS551" s="69"/>
      <c r="CT551" s="68"/>
      <c r="CU551" s="69"/>
      <c r="CV551" s="68"/>
      <c r="CW551" s="69"/>
      <c r="CX551" s="69"/>
      <c r="CY551" s="7"/>
      <c r="CZ551" s="7"/>
    </row>
    <row r="552" spans="90:104" x14ac:dyDescent="0.25">
      <c r="CL552" s="67"/>
      <c r="CM552" s="67"/>
      <c r="CN552" s="67"/>
      <c r="CO552" s="67"/>
      <c r="CP552" s="67"/>
      <c r="CQ552" s="69"/>
      <c r="CR552" s="67"/>
      <c r="CS552" s="69"/>
      <c r="CT552" s="68"/>
      <c r="CU552" s="68"/>
      <c r="CV552" s="68"/>
      <c r="CW552" s="69"/>
      <c r="CX552" s="69"/>
      <c r="CY552" s="7"/>
      <c r="CZ552" s="7"/>
    </row>
    <row r="553" spans="90:104" x14ac:dyDescent="0.25">
      <c r="CL553" s="67"/>
      <c r="CM553" s="67"/>
      <c r="CN553" s="67"/>
      <c r="CO553" s="67"/>
      <c r="CP553" s="67"/>
      <c r="CQ553" s="69"/>
      <c r="CR553" s="67"/>
      <c r="CS553" s="69"/>
      <c r="CT553" s="68"/>
      <c r="CU553" s="68"/>
      <c r="CV553" s="68"/>
      <c r="CW553" s="69"/>
      <c r="CX553" s="69"/>
      <c r="CY553" s="7"/>
      <c r="CZ553" s="7"/>
    </row>
    <row r="554" spans="90:104" x14ac:dyDescent="0.25">
      <c r="CL554" s="67"/>
      <c r="CM554" s="67"/>
      <c r="CN554" s="67"/>
      <c r="CO554" s="67"/>
      <c r="CP554" s="67"/>
      <c r="CQ554" s="69"/>
      <c r="CR554" s="67"/>
      <c r="CS554" s="69"/>
      <c r="CT554" s="68"/>
      <c r="CU554" s="69"/>
      <c r="CV554" s="68"/>
      <c r="CW554" s="69"/>
      <c r="CX554" s="69"/>
      <c r="CY554" s="7"/>
      <c r="CZ554" s="7"/>
    </row>
    <row r="555" spans="90:104" x14ac:dyDescent="0.25">
      <c r="CL555" s="67"/>
      <c r="CM555" s="67"/>
      <c r="CN555" s="67"/>
      <c r="CO555" s="67"/>
      <c r="CP555" s="67"/>
      <c r="CQ555" s="69"/>
      <c r="CR555" s="67"/>
      <c r="CS555" s="69"/>
      <c r="CT555" s="68"/>
      <c r="CU555" s="69"/>
      <c r="CV555" s="68"/>
      <c r="CW555" s="69"/>
      <c r="CX555" s="69"/>
      <c r="CY555" s="7"/>
      <c r="CZ555" s="7"/>
    </row>
    <row r="556" spans="90:104" x14ac:dyDescent="0.25">
      <c r="CL556" s="67"/>
      <c r="CM556" s="67"/>
      <c r="CN556" s="67"/>
      <c r="CO556" s="67"/>
      <c r="CP556" s="67"/>
      <c r="CQ556" s="69"/>
      <c r="CR556" s="67"/>
      <c r="CS556" s="69"/>
      <c r="CT556" s="67"/>
      <c r="CU556" s="71"/>
      <c r="CV556" s="71"/>
      <c r="CW556" s="69"/>
      <c r="CX556" s="69"/>
      <c r="CY556" s="7"/>
      <c r="CZ556" s="7"/>
    </row>
    <row r="557" spans="90:104" x14ac:dyDescent="0.25">
      <c r="CL557" s="67"/>
      <c r="CM557" s="67"/>
      <c r="CN557" s="67"/>
      <c r="CO557" s="67"/>
      <c r="CP557" s="67"/>
      <c r="CQ557" s="67"/>
      <c r="CR557" s="67"/>
      <c r="CS557" s="71"/>
      <c r="CT557" s="71"/>
      <c r="CU557" s="71"/>
      <c r="CV557" s="71"/>
      <c r="CW557" s="69"/>
      <c r="CX557" s="69"/>
      <c r="CY557" s="7"/>
      <c r="CZ557" s="7"/>
    </row>
    <row r="558" spans="90:104" x14ac:dyDescent="0.25">
      <c r="CL558" s="67"/>
      <c r="CM558" s="67"/>
      <c r="CN558" s="67"/>
      <c r="CO558" s="67"/>
      <c r="CP558" s="67"/>
      <c r="CQ558" s="67"/>
      <c r="CR558" s="67"/>
      <c r="CS558" s="68"/>
      <c r="CT558" s="68"/>
      <c r="CU558" s="68"/>
      <c r="CV558" s="68"/>
      <c r="CW558" s="69"/>
      <c r="CX558" s="69"/>
      <c r="CY558" s="7"/>
      <c r="CZ558" s="7"/>
    </row>
    <row r="559" spans="90:104" x14ac:dyDescent="0.25">
      <c r="CL559" s="67"/>
      <c r="CM559" s="67"/>
      <c r="CN559" s="67"/>
      <c r="CO559" s="67"/>
      <c r="CP559" s="67"/>
      <c r="CQ559" s="67"/>
      <c r="CR559" s="67"/>
      <c r="CS559" s="70"/>
      <c r="CT559" s="68"/>
      <c r="CU559" s="68"/>
      <c r="CV559" s="68"/>
      <c r="CW559" s="69"/>
      <c r="CX559" s="69"/>
      <c r="CY559" s="7"/>
      <c r="CZ559" s="7"/>
    </row>
    <row r="560" spans="90:104" x14ac:dyDescent="0.25">
      <c r="CL560" s="67"/>
      <c r="CM560" s="67"/>
      <c r="CN560" s="67"/>
      <c r="CO560" s="67"/>
      <c r="CP560" s="67"/>
      <c r="CQ560" s="69"/>
      <c r="CR560" s="67"/>
      <c r="CS560" s="68"/>
      <c r="CT560" s="68"/>
      <c r="CU560" s="68"/>
      <c r="CV560" s="68"/>
      <c r="CW560" s="69"/>
      <c r="CX560" s="69"/>
      <c r="CY560" s="7"/>
      <c r="CZ560" s="7"/>
    </row>
    <row r="561" spans="90:104" x14ac:dyDescent="0.25">
      <c r="CL561" s="67"/>
      <c r="CM561" s="67"/>
      <c r="CN561" s="67"/>
      <c r="CO561" s="67"/>
      <c r="CP561" s="67"/>
      <c r="CQ561" s="69"/>
      <c r="CR561" s="67"/>
      <c r="CS561" s="68"/>
      <c r="CT561" s="68"/>
      <c r="CU561" s="68"/>
      <c r="CV561" s="68"/>
      <c r="CW561" s="69"/>
      <c r="CX561" s="69"/>
      <c r="CY561" s="7"/>
      <c r="CZ561" s="7"/>
    </row>
    <row r="562" spans="90:104" x14ac:dyDescent="0.25">
      <c r="CL562" s="67"/>
      <c r="CM562" s="67"/>
      <c r="CN562" s="67"/>
      <c r="CO562" s="67"/>
      <c r="CP562" s="67"/>
      <c r="CQ562" s="69"/>
      <c r="CR562" s="67"/>
      <c r="CS562" s="69"/>
      <c r="CT562" s="68"/>
      <c r="CU562" s="68"/>
      <c r="CV562" s="68"/>
      <c r="CW562" s="69"/>
      <c r="CX562" s="69"/>
      <c r="CY562" s="7"/>
      <c r="CZ562" s="7"/>
    </row>
    <row r="563" spans="90:104" x14ac:dyDescent="0.25">
      <c r="CL563" s="67"/>
      <c r="CM563" s="67"/>
      <c r="CN563" s="67"/>
      <c r="CO563" s="67"/>
      <c r="CP563" s="67"/>
      <c r="CQ563" s="69"/>
      <c r="CR563" s="67"/>
      <c r="CS563" s="69"/>
      <c r="CT563" s="68"/>
      <c r="CU563" s="68"/>
      <c r="CV563" s="68"/>
      <c r="CW563" s="69"/>
      <c r="CX563" s="69"/>
      <c r="CY563" s="7"/>
      <c r="CZ563" s="7"/>
    </row>
    <row r="564" spans="90:104" x14ac:dyDescent="0.25">
      <c r="CL564" s="67"/>
      <c r="CM564" s="67"/>
      <c r="CN564" s="67"/>
      <c r="CO564" s="67"/>
      <c r="CP564" s="67"/>
      <c r="CQ564" s="69"/>
      <c r="CR564" s="67"/>
      <c r="CS564" s="69"/>
      <c r="CT564" s="68"/>
      <c r="CU564" s="69"/>
      <c r="CV564" s="68"/>
      <c r="CW564" s="69"/>
      <c r="CX564" s="69"/>
      <c r="CY564" s="7"/>
      <c r="CZ564" s="7"/>
    </row>
    <row r="565" spans="90:104" x14ac:dyDescent="0.25">
      <c r="CL565" s="67"/>
      <c r="CM565" s="67"/>
      <c r="CN565" s="67"/>
      <c r="CO565" s="67"/>
      <c r="CP565" s="67"/>
      <c r="CQ565" s="69"/>
      <c r="CR565" s="67"/>
      <c r="CS565" s="69"/>
      <c r="CT565" s="68"/>
      <c r="CU565" s="69"/>
      <c r="CV565" s="68"/>
      <c r="CW565" s="69"/>
      <c r="CX565" s="69"/>
      <c r="CY565" s="7"/>
      <c r="CZ565" s="7"/>
    </row>
    <row r="566" spans="90:104" x14ac:dyDescent="0.25"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7"/>
      <c r="CZ566" s="7"/>
    </row>
    <row r="567" spans="90:104" x14ac:dyDescent="0.25">
      <c r="CL567" s="67"/>
      <c r="CM567" s="67"/>
      <c r="CN567" s="67"/>
      <c r="CO567" s="67"/>
      <c r="CP567" s="67"/>
      <c r="CQ567" s="67"/>
      <c r="CR567" s="67"/>
      <c r="CS567" s="68"/>
      <c r="CT567" s="68"/>
      <c r="CU567" s="68"/>
      <c r="CV567" s="68"/>
      <c r="CW567" s="69"/>
      <c r="CX567" s="69"/>
      <c r="CY567" s="7"/>
      <c r="CZ567" s="7"/>
    </row>
    <row r="568" spans="90:104" x14ac:dyDescent="0.25">
      <c r="CL568" s="67"/>
      <c r="CM568" s="67"/>
      <c r="CN568" s="67"/>
      <c r="CO568" s="67"/>
      <c r="CP568" s="67"/>
      <c r="CQ568" s="67"/>
      <c r="CR568" s="67"/>
      <c r="CS568" s="68"/>
      <c r="CT568" s="68"/>
      <c r="CU568" s="68"/>
      <c r="CV568" s="68"/>
      <c r="CW568" s="69"/>
      <c r="CX568" s="69"/>
      <c r="CY568" s="7"/>
      <c r="CZ568" s="7"/>
    </row>
    <row r="569" spans="90:104" x14ac:dyDescent="0.25">
      <c r="CL569" s="67"/>
      <c r="CM569" s="67"/>
      <c r="CN569" s="67"/>
      <c r="CO569" s="67"/>
      <c r="CP569" s="67"/>
      <c r="CQ569" s="70"/>
      <c r="CR569" s="67"/>
      <c r="CS569" s="68"/>
      <c r="CT569" s="68"/>
      <c r="CU569" s="68"/>
      <c r="CV569" s="68"/>
      <c r="CW569" s="69"/>
      <c r="CX569" s="69"/>
      <c r="CY569" s="7"/>
      <c r="CZ569" s="7"/>
    </row>
    <row r="570" spans="90:104" x14ac:dyDescent="0.25">
      <c r="CL570" s="67"/>
      <c r="CM570" s="67"/>
      <c r="CN570" s="67"/>
      <c r="CO570" s="67"/>
      <c r="CP570" s="67"/>
      <c r="CQ570" s="69"/>
      <c r="CR570" s="67"/>
      <c r="CS570" s="69"/>
      <c r="CT570" s="67"/>
      <c r="CU570" s="71"/>
      <c r="CV570" s="71"/>
      <c r="CW570" s="69"/>
      <c r="CX570" s="69"/>
      <c r="CY570" s="7"/>
      <c r="CZ570" s="7"/>
    </row>
    <row r="571" spans="90:104" x14ac:dyDescent="0.25">
      <c r="CL571" s="67"/>
      <c r="CM571" s="67"/>
      <c r="CN571" s="67"/>
      <c r="CO571" s="67"/>
      <c r="CP571" s="67"/>
      <c r="CQ571" s="69"/>
      <c r="CR571" s="67"/>
      <c r="CS571" s="68"/>
      <c r="CT571" s="68"/>
      <c r="CU571" s="68"/>
      <c r="CV571" s="68"/>
      <c r="CW571" s="69"/>
      <c r="CX571" s="69"/>
      <c r="CY571" s="7"/>
      <c r="CZ571" s="7"/>
    </row>
    <row r="572" spans="90:104" x14ac:dyDescent="0.25">
      <c r="CL572" s="67"/>
      <c r="CM572" s="67"/>
      <c r="CN572" s="67"/>
      <c r="CO572" s="67"/>
      <c r="CP572" s="67"/>
      <c r="CQ572" s="69"/>
      <c r="CR572" s="67"/>
      <c r="CS572" s="69"/>
      <c r="CT572" s="68"/>
      <c r="CU572" s="69"/>
      <c r="CV572" s="68"/>
      <c r="CW572" s="69"/>
      <c r="CX572" s="69"/>
      <c r="CY572" s="7"/>
      <c r="CZ572" s="7"/>
    </row>
    <row r="573" spans="90:104" x14ac:dyDescent="0.25">
      <c r="CL573" s="67"/>
      <c r="CM573" s="67"/>
      <c r="CN573" s="67"/>
      <c r="CO573" s="67"/>
      <c r="CP573" s="67"/>
      <c r="CQ573" s="69"/>
      <c r="CR573" s="67"/>
      <c r="CS573" s="69"/>
      <c r="CT573" s="68"/>
      <c r="CU573" s="69"/>
      <c r="CV573" s="68"/>
      <c r="CW573" s="69"/>
      <c r="CX573" s="69"/>
      <c r="CY573" s="7"/>
      <c r="CZ573" s="7"/>
    </row>
    <row r="574" spans="90:104" x14ac:dyDescent="0.25">
      <c r="CL574" s="67"/>
      <c r="CM574" s="67"/>
      <c r="CN574" s="67"/>
      <c r="CO574" s="67"/>
      <c r="CP574" s="67"/>
      <c r="CQ574" s="69"/>
      <c r="CR574" s="67"/>
      <c r="CS574" s="69"/>
      <c r="CT574" s="67"/>
      <c r="CU574" s="71"/>
      <c r="CV574" s="71"/>
      <c r="CW574" s="69"/>
      <c r="CX574" s="69"/>
      <c r="CY574" s="7"/>
      <c r="CZ574" s="7"/>
    </row>
    <row r="575" spans="90:104" x14ac:dyDescent="0.25">
      <c r="CL575" s="67"/>
      <c r="CM575" s="67"/>
      <c r="CN575" s="67"/>
      <c r="CO575" s="67"/>
      <c r="CP575" s="67"/>
      <c r="CQ575" s="67"/>
      <c r="CR575" s="67"/>
      <c r="CS575" s="71"/>
      <c r="CT575" s="71"/>
      <c r="CU575" s="71"/>
      <c r="CV575" s="71"/>
      <c r="CW575" s="69"/>
      <c r="CX575" s="69"/>
      <c r="CY575" s="7"/>
      <c r="CZ575" s="7"/>
    </row>
    <row r="576" spans="90:104" x14ac:dyDescent="0.25">
      <c r="CL576" s="67"/>
      <c r="CM576" s="67"/>
      <c r="CN576" s="67"/>
      <c r="CO576" s="67"/>
      <c r="CP576" s="67"/>
      <c r="CQ576" s="67"/>
      <c r="CR576" s="67"/>
      <c r="CS576" s="68"/>
      <c r="CT576" s="68"/>
      <c r="CU576" s="68"/>
      <c r="CV576" s="68"/>
      <c r="CW576" s="69"/>
      <c r="CX576" s="69"/>
      <c r="CY576" s="7"/>
      <c r="CZ576" s="7"/>
    </row>
    <row r="577" spans="90:104" x14ac:dyDescent="0.25">
      <c r="CL577" s="67"/>
      <c r="CM577" s="67"/>
      <c r="CN577" s="67"/>
      <c r="CO577" s="67"/>
      <c r="CP577" s="67"/>
      <c r="CQ577" s="67"/>
      <c r="CR577" s="67"/>
      <c r="CS577" s="70"/>
      <c r="CT577" s="68"/>
      <c r="CU577" s="68"/>
      <c r="CV577" s="68"/>
      <c r="CW577" s="69"/>
      <c r="CX577" s="69"/>
      <c r="CY577" s="7"/>
      <c r="CZ577" s="7"/>
    </row>
    <row r="578" spans="90:104" x14ac:dyDescent="0.25">
      <c r="CL578" s="67"/>
      <c r="CM578" s="67"/>
      <c r="CN578" s="67"/>
      <c r="CO578" s="67"/>
      <c r="CP578" s="67"/>
      <c r="CQ578" s="69"/>
      <c r="CR578" s="67"/>
      <c r="CS578" s="68"/>
      <c r="CT578" s="68"/>
      <c r="CU578" s="68"/>
      <c r="CV578" s="68"/>
      <c r="CW578" s="69"/>
      <c r="CX578" s="69"/>
      <c r="CY578" s="7"/>
      <c r="CZ578" s="7"/>
    </row>
    <row r="579" spans="90:104" x14ac:dyDescent="0.25">
      <c r="CL579" s="67"/>
      <c r="CM579" s="67"/>
      <c r="CN579" s="67"/>
      <c r="CO579" s="67"/>
      <c r="CP579" s="67"/>
      <c r="CQ579" s="69"/>
      <c r="CR579" s="67"/>
      <c r="CS579" s="69"/>
      <c r="CT579" s="68"/>
      <c r="CU579" s="68"/>
      <c r="CV579" s="68"/>
      <c r="CW579" s="69"/>
      <c r="CX579" s="69"/>
      <c r="CY579" s="7"/>
      <c r="CZ579" s="7"/>
    </row>
    <row r="580" spans="90:104" x14ac:dyDescent="0.25">
      <c r="CL580" s="67"/>
      <c r="CM580" s="67"/>
      <c r="CN580" s="67"/>
      <c r="CO580" s="67"/>
      <c r="CP580" s="67"/>
      <c r="CQ580" s="69"/>
      <c r="CR580" s="67"/>
      <c r="CS580" s="69"/>
      <c r="CT580" s="68"/>
      <c r="CU580" s="68"/>
      <c r="CV580" s="68"/>
      <c r="CW580" s="69"/>
      <c r="CX580" s="69"/>
      <c r="CY580" s="7"/>
      <c r="CZ580" s="7"/>
    </row>
    <row r="581" spans="90:104" x14ac:dyDescent="0.25">
      <c r="CL581" s="67"/>
      <c r="CM581" s="67"/>
      <c r="CN581" s="67"/>
      <c r="CO581" s="67"/>
      <c r="CP581" s="67"/>
      <c r="CQ581" s="69"/>
      <c r="CR581" s="67"/>
      <c r="CS581" s="69"/>
      <c r="CT581" s="68"/>
      <c r="CU581" s="68"/>
      <c r="CV581" s="68"/>
      <c r="CW581" s="69"/>
      <c r="CX581" s="69"/>
      <c r="CY581" s="7"/>
      <c r="CZ581" s="7"/>
    </row>
    <row r="582" spans="90:104" x14ac:dyDescent="0.25">
      <c r="CL582" s="67"/>
      <c r="CM582" s="67"/>
      <c r="CN582" s="67"/>
      <c r="CO582" s="67"/>
      <c r="CP582" s="67"/>
      <c r="CQ582" s="69"/>
      <c r="CR582" s="67"/>
      <c r="CS582" s="69"/>
      <c r="CT582" s="68"/>
      <c r="CU582" s="69"/>
      <c r="CV582" s="68"/>
      <c r="CW582" s="69"/>
      <c r="CX582" s="69"/>
      <c r="CY582" s="7"/>
      <c r="CZ582" s="7"/>
    </row>
    <row r="583" spans="90:104" x14ac:dyDescent="0.25">
      <c r="CL583" s="67"/>
      <c r="CM583" s="67"/>
      <c r="CN583" s="67"/>
      <c r="CO583" s="67"/>
      <c r="CP583" s="67"/>
      <c r="CQ583" s="69"/>
      <c r="CR583" s="67"/>
      <c r="CS583" s="69"/>
      <c r="CT583" s="68"/>
      <c r="CU583" s="69"/>
      <c r="CV583" s="68"/>
      <c r="CW583" s="69"/>
      <c r="CX583" s="69"/>
      <c r="CY583" s="7"/>
      <c r="CZ583" s="7"/>
    </row>
    <row r="584" spans="90:104" x14ac:dyDescent="0.25"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7"/>
      <c r="CZ584" s="7"/>
    </row>
    <row r="585" spans="90:104" x14ac:dyDescent="0.25">
      <c r="CL585" s="67"/>
      <c r="CM585" s="67"/>
      <c r="CN585" s="67"/>
      <c r="CO585" s="67"/>
      <c r="CP585" s="67"/>
      <c r="CQ585" s="67"/>
      <c r="CR585" s="67"/>
      <c r="CS585" s="68"/>
      <c r="CT585" s="68"/>
      <c r="CU585" s="68"/>
      <c r="CV585" s="68"/>
      <c r="CW585" s="69"/>
      <c r="CX585" s="69"/>
      <c r="CY585" s="7"/>
      <c r="CZ585" s="7"/>
    </row>
    <row r="586" spans="90:104" x14ac:dyDescent="0.25">
      <c r="CL586" s="67"/>
      <c r="CM586" s="67"/>
      <c r="CN586" s="67"/>
      <c r="CO586" s="67"/>
      <c r="CP586" s="67"/>
      <c r="CQ586" s="67"/>
      <c r="CR586" s="67"/>
      <c r="CS586" s="68"/>
      <c r="CT586" s="68"/>
      <c r="CU586" s="68"/>
      <c r="CV586" s="68"/>
      <c r="CW586" s="69"/>
      <c r="CX586" s="69"/>
      <c r="CY586" s="7"/>
      <c r="CZ586" s="7"/>
    </row>
    <row r="587" spans="90:104" x14ac:dyDescent="0.25">
      <c r="CL587" s="67"/>
      <c r="CM587" s="67"/>
      <c r="CN587" s="67"/>
      <c r="CO587" s="67"/>
      <c r="CP587" s="67"/>
      <c r="CQ587" s="70"/>
      <c r="CR587" s="67"/>
      <c r="CS587" s="68"/>
      <c r="CT587" s="68"/>
      <c r="CU587" s="68"/>
      <c r="CV587" s="68"/>
      <c r="CW587" s="69"/>
      <c r="CX587" s="69"/>
      <c r="CY587" s="7"/>
      <c r="CZ587" s="7"/>
    </row>
    <row r="588" spans="90:104" x14ac:dyDescent="0.25">
      <c r="CL588" s="67"/>
      <c r="CM588" s="67"/>
      <c r="CN588" s="67"/>
      <c r="CO588" s="67"/>
      <c r="CP588" s="67"/>
      <c r="CQ588" s="69"/>
      <c r="CR588" s="67"/>
      <c r="CS588" s="69"/>
      <c r="CT588" s="67"/>
      <c r="CU588" s="71"/>
      <c r="CV588" s="71"/>
      <c r="CW588" s="69"/>
      <c r="CX588" s="69"/>
      <c r="CY588" s="7"/>
      <c r="CZ588" s="7"/>
    </row>
    <row r="589" spans="90:104" x14ac:dyDescent="0.25">
      <c r="CL589" s="67"/>
      <c r="CM589" s="67"/>
      <c r="CN589" s="67"/>
      <c r="CO589" s="67"/>
      <c r="CP589" s="67"/>
      <c r="CQ589" s="69"/>
      <c r="CR589" s="67"/>
      <c r="CS589" s="68"/>
      <c r="CT589" s="68"/>
      <c r="CU589" s="68"/>
      <c r="CV589" s="68"/>
      <c r="CW589" s="69"/>
      <c r="CX589" s="69"/>
      <c r="CY589" s="7"/>
      <c r="CZ589" s="7"/>
    </row>
    <row r="590" spans="90:104" x14ac:dyDescent="0.25">
      <c r="CL590" s="67"/>
      <c r="CM590" s="67"/>
      <c r="CN590" s="67"/>
      <c r="CO590" s="67"/>
      <c r="CP590" s="67"/>
      <c r="CQ590" s="69"/>
      <c r="CR590" s="67"/>
      <c r="CS590" s="69"/>
      <c r="CT590" s="68"/>
      <c r="CU590" s="69"/>
      <c r="CV590" s="68"/>
      <c r="CW590" s="69"/>
      <c r="CX590" s="69"/>
      <c r="CY590" s="7"/>
      <c r="CZ590" s="7"/>
    </row>
    <row r="591" spans="90:104" x14ac:dyDescent="0.25">
      <c r="CL591" s="67"/>
      <c r="CM591" s="67"/>
      <c r="CN591" s="67"/>
      <c r="CO591" s="67"/>
      <c r="CP591" s="67"/>
      <c r="CQ591" s="69"/>
      <c r="CR591" s="67"/>
      <c r="CS591" s="69"/>
      <c r="CT591" s="68"/>
      <c r="CU591" s="69"/>
      <c r="CV591" s="68"/>
      <c r="CW591" s="69"/>
      <c r="CX591" s="69"/>
      <c r="CY591" s="7"/>
      <c r="CZ591" s="7"/>
    </row>
    <row r="592" spans="90:104" x14ac:dyDescent="0.25">
      <c r="CL592" s="67"/>
      <c r="CM592" s="67"/>
      <c r="CN592" s="67"/>
      <c r="CO592" s="67"/>
      <c r="CP592" s="67"/>
      <c r="CQ592" s="69"/>
      <c r="CR592" s="67"/>
      <c r="CS592" s="69"/>
      <c r="CT592" s="67"/>
      <c r="CU592" s="71"/>
      <c r="CV592" s="71"/>
      <c r="CW592" s="69"/>
      <c r="CX592" s="69"/>
      <c r="CY592" s="7"/>
      <c r="CZ592" s="7"/>
    </row>
    <row r="593" spans="90:104" x14ac:dyDescent="0.25">
      <c r="CL593" s="67"/>
      <c r="CM593" s="67"/>
      <c r="CN593" s="67"/>
      <c r="CO593" s="67"/>
      <c r="CP593" s="67"/>
      <c r="CQ593" s="69"/>
      <c r="CR593" s="67"/>
      <c r="CS593" s="71"/>
      <c r="CT593" s="71"/>
      <c r="CU593" s="71"/>
      <c r="CV593" s="71"/>
      <c r="CW593" s="69"/>
      <c r="CX593" s="69"/>
      <c r="CY593" s="7"/>
      <c r="CZ593" s="7"/>
    </row>
    <row r="594" spans="90:104" x14ac:dyDescent="0.25">
      <c r="CL594" s="67"/>
      <c r="CM594" s="67"/>
      <c r="CN594" s="67"/>
      <c r="CO594" s="67"/>
      <c r="CP594" s="67"/>
      <c r="CQ594" s="81"/>
      <c r="CR594" s="68"/>
      <c r="CS594" s="69"/>
      <c r="CT594" s="67"/>
      <c r="CU594" s="81"/>
      <c r="CV594" s="68"/>
      <c r="CW594" s="69"/>
      <c r="CX594" s="69"/>
      <c r="CY594" s="68"/>
      <c r="CZ594" s="7"/>
    </row>
    <row r="595" spans="90:104" x14ac:dyDescent="0.25">
      <c r="CL595" s="67"/>
      <c r="CM595" s="67"/>
      <c r="CN595" s="67"/>
      <c r="CO595" s="67"/>
      <c r="CP595" s="67"/>
      <c r="CQ595" s="67"/>
      <c r="CR595" s="67"/>
      <c r="CS595" s="68"/>
      <c r="CT595" s="68"/>
      <c r="CU595" s="68"/>
      <c r="CV595" s="68"/>
      <c r="CW595" s="69"/>
      <c r="CX595" s="69"/>
      <c r="CY595" s="7"/>
      <c r="CZ595" s="7"/>
    </row>
    <row r="596" spans="90:104" x14ac:dyDescent="0.25">
      <c r="CL596" s="67"/>
      <c r="CM596" s="67"/>
      <c r="CN596" s="67"/>
      <c r="CO596" s="67"/>
      <c r="CP596" s="67"/>
      <c r="CQ596" s="70"/>
      <c r="CR596" s="67"/>
      <c r="CS596" s="68"/>
      <c r="CT596" s="68"/>
      <c r="CU596" s="68"/>
      <c r="CV596" s="68"/>
      <c r="CW596" s="69"/>
      <c r="CX596" s="69"/>
      <c r="CY596" s="7"/>
      <c r="CZ596" s="7"/>
    </row>
    <row r="597" spans="90:104" x14ac:dyDescent="0.25">
      <c r="CL597" s="67"/>
      <c r="CM597" s="67"/>
      <c r="CN597" s="67"/>
      <c r="CO597" s="67"/>
      <c r="CP597" s="67"/>
      <c r="CQ597" s="70"/>
      <c r="CR597" s="67"/>
      <c r="CS597" s="70"/>
      <c r="CT597" s="68"/>
      <c r="CU597" s="68"/>
      <c r="CV597" s="68"/>
      <c r="CW597" s="69"/>
      <c r="CX597" s="69"/>
      <c r="CY597" s="7"/>
      <c r="CZ597" s="7"/>
    </row>
    <row r="598" spans="90:104" x14ac:dyDescent="0.25">
      <c r="CL598" s="67"/>
      <c r="CM598" s="67"/>
      <c r="CN598" s="67"/>
      <c r="CO598" s="67"/>
      <c r="CP598" s="67"/>
      <c r="CQ598" s="69"/>
      <c r="CR598" s="67"/>
      <c r="CS598" s="68"/>
      <c r="CT598" s="68"/>
      <c r="CU598" s="68"/>
      <c r="CV598" s="68"/>
      <c r="CW598" s="69"/>
      <c r="CX598" s="69"/>
      <c r="CY598" s="7"/>
      <c r="CZ598" s="7"/>
    </row>
    <row r="599" spans="90:104" x14ac:dyDescent="0.25">
      <c r="CL599" s="67"/>
      <c r="CM599" s="67"/>
      <c r="CN599" s="67"/>
      <c r="CO599" s="67"/>
      <c r="CP599" s="67"/>
      <c r="CQ599" s="69"/>
      <c r="CR599" s="67"/>
      <c r="CS599" s="69"/>
      <c r="CT599" s="68"/>
      <c r="CU599" s="69"/>
      <c r="CV599" s="68"/>
      <c r="CW599" s="69"/>
      <c r="CX599" s="69"/>
      <c r="CY599" s="7"/>
      <c r="CZ599" s="7"/>
    </row>
    <row r="600" spans="90:104" x14ac:dyDescent="0.25">
      <c r="CL600" s="67"/>
      <c r="CM600" s="67"/>
      <c r="CN600" s="67"/>
      <c r="CO600" s="67"/>
      <c r="CP600" s="67"/>
      <c r="CQ600" s="69"/>
      <c r="CR600" s="67"/>
      <c r="CS600" s="69"/>
      <c r="CT600" s="68"/>
      <c r="CU600" s="69"/>
      <c r="CV600" s="68"/>
      <c r="CW600" s="69"/>
      <c r="CX600" s="69"/>
      <c r="CY600" s="7"/>
      <c r="CZ600" s="7"/>
    </row>
    <row r="601" spans="90:104" x14ac:dyDescent="0.25">
      <c r="CL601" s="67"/>
      <c r="CM601" s="67"/>
      <c r="CN601" s="67"/>
      <c r="CO601" s="67"/>
      <c r="CP601" s="67"/>
      <c r="CQ601" s="67"/>
      <c r="CR601" s="67"/>
      <c r="CS601" s="68"/>
      <c r="CT601" s="68"/>
      <c r="CU601" s="68"/>
      <c r="CV601" s="68"/>
      <c r="CW601" s="69"/>
      <c r="CX601" s="69"/>
      <c r="CY601" s="7"/>
      <c r="CZ601" s="7"/>
    </row>
    <row r="602" spans="90:104" x14ac:dyDescent="0.25">
      <c r="CL602" s="67"/>
      <c r="CM602" s="67"/>
      <c r="CN602" s="67"/>
      <c r="CO602" s="67"/>
      <c r="CP602" s="67"/>
      <c r="CQ602" s="70"/>
      <c r="CR602" s="67"/>
      <c r="CS602" s="70"/>
      <c r="CT602" s="68"/>
      <c r="CU602" s="68"/>
      <c r="CV602" s="68"/>
      <c r="CW602" s="69"/>
      <c r="CX602" s="69"/>
      <c r="CY602" s="7"/>
      <c r="CZ602" s="7"/>
    </row>
    <row r="603" spans="90:104" x14ac:dyDescent="0.25">
      <c r="CL603" s="67"/>
      <c r="CM603" s="67"/>
      <c r="CN603" s="67"/>
      <c r="CO603" s="67"/>
      <c r="CP603" s="67"/>
      <c r="CQ603" s="70"/>
      <c r="CR603" s="67"/>
      <c r="CS603" s="70"/>
      <c r="CT603" s="68"/>
      <c r="CU603" s="68"/>
      <c r="CV603" s="68"/>
      <c r="CW603" s="69"/>
      <c r="CX603" s="69"/>
      <c r="CY603" s="7"/>
      <c r="CZ603" s="7"/>
    </row>
    <row r="604" spans="90:104" x14ac:dyDescent="0.25">
      <c r="CL604" s="67"/>
      <c r="CM604" s="67"/>
      <c r="CN604" s="67"/>
      <c r="CO604" s="67"/>
      <c r="CP604" s="67"/>
      <c r="CQ604" s="70"/>
      <c r="CR604" s="67"/>
      <c r="CS604" s="70"/>
      <c r="CT604" s="68"/>
      <c r="CU604" s="70"/>
      <c r="CV604" s="68"/>
      <c r="CW604" s="69"/>
      <c r="CX604" s="69"/>
      <c r="CY604" s="7"/>
      <c r="CZ604" s="7"/>
    </row>
    <row r="605" spans="90:104" x14ac:dyDescent="0.25">
      <c r="CL605" s="67"/>
      <c r="CM605" s="67"/>
      <c r="CN605" s="67"/>
      <c r="CO605" s="67"/>
      <c r="CP605" s="67"/>
      <c r="CQ605" s="69"/>
      <c r="CR605" s="67"/>
      <c r="CS605" s="70"/>
      <c r="CT605" s="68"/>
      <c r="CU605" s="68"/>
      <c r="CV605" s="68"/>
      <c r="CW605" s="69"/>
      <c r="CX605" s="69"/>
      <c r="CY605" s="7"/>
      <c r="CZ605" s="7"/>
    </row>
    <row r="606" spans="90:104" x14ac:dyDescent="0.25">
      <c r="CL606" s="67"/>
      <c r="CM606" s="67"/>
      <c r="CN606" s="67"/>
      <c r="CO606" s="67"/>
      <c r="CP606" s="67"/>
      <c r="CQ606" s="69"/>
      <c r="CR606" s="67"/>
      <c r="CS606" s="69"/>
      <c r="CT606" s="68"/>
      <c r="CU606" s="69"/>
      <c r="CV606" s="68"/>
      <c r="CW606" s="69"/>
      <c r="CX606" s="69"/>
      <c r="CY606" s="7"/>
      <c r="CZ606" s="7"/>
    </row>
    <row r="607" spans="90:104" x14ac:dyDescent="0.25">
      <c r="CL607" s="67"/>
      <c r="CM607" s="67"/>
      <c r="CN607" s="67"/>
      <c r="CO607" s="67"/>
      <c r="CP607" s="67"/>
      <c r="CQ607" s="69"/>
      <c r="CR607" s="67"/>
      <c r="CS607" s="69"/>
      <c r="CT607" s="68"/>
      <c r="CU607" s="69"/>
      <c r="CV607" s="68"/>
      <c r="CW607" s="69"/>
      <c r="CX607" s="69"/>
      <c r="CY607" s="7"/>
      <c r="CZ607" s="7"/>
    </row>
    <row r="608" spans="90:104" x14ac:dyDescent="0.25">
      <c r="CL608" s="67"/>
      <c r="CM608" s="67"/>
      <c r="CN608" s="67"/>
      <c r="CO608" s="67"/>
      <c r="CP608" s="67"/>
      <c r="CQ608" s="69"/>
      <c r="CR608" s="67"/>
      <c r="CS608" s="68"/>
      <c r="CT608" s="68"/>
      <c r="CU608" s="68"/>
      <c r="CV608" s="68"/>
      <c r="CW608" s="69"/>
      <c r="CX608" s="69"/>
      <c r="CY608" s="7"/>
      <c r="CZ608" s="7"/>
    </row>
    <row r="609" spans="90:104" x14ac:dyDescent="0.25">
      <c r="CL609" s="7"/>
      <c r="CM609" s="71"/>
      <c r="CN609" s="7"/>
      <c r="CO609" s="71"/>
      <c r="CP609" s="67"/>
      <c r="CQ609" s="69"/>
      <c r="CR609" s="67"/>
      <c r="CS609" s="69"/>
      <c r="CT609" s="69"/>
      <c r="CU609" s="69"/>
      <c r="CV609" s="69"/>
      <c r="CW609" s="69"/>
      <c r="CX609" s="69"/>
      <c r="CY609" s="7"/>
      <c r="CZ609" s="7"/>
    </row>
    <row r="610" spans="90:104" x14ac:dyDescent="0.25">
      <c r="CL610" s="67"/>
      <c r="CM610" s="67"/>
      <c r="CN610" s="67"/>
      <c r="CO610" s="67"/>
      <c r="CP610" s="67"/>
      <c r="CQ610" s="70"/>
      <c r="CR610" s="67"/>
      <c r="CS610" s="70"/>
      <c r="CT610" s="68"/>
      <c r="CU610" s="68"/>
      <c r="CV610" s="68"/>
      <c r="CW610" s="69"/>
      <c r="CX610" s="69"/>
      <c r="CY610" s="7"/>
      <c r="CZ610" s="7"/>
    </row>
    <row r="611" spans="90:104" x14ac:dyDescent="0.25">
      <c r="CL611" s="7"/>
      <c r="CM611" s="71"/>
      <c r="CN611" s="7"/>
      <c r="CO611" s="68"/>
      <c r="CP611" s="68"/>
      <c r="CQ611" s="70"/>
      <c r="CR611" s="67"/>
      <c r="CS611" s="70"/>
      <c r="CT611" s="68"/>
      <c r="CU611" s="68"/>
      <c r="CV611" s="68"/>
      <c r="CW611" s="69"/>
      <c r="CX611" s="69"/>
      <c r="CY611" s="7"/>
      <c r="CZ611" s="7"/>
    </row>
    <row r="612" spans="90:104" x14ac:dyDescent="0.25">
      <c r="CL612" s="7"/>
      <c r="CM612" s="71"/>
      <c r="CN612" s="7"/>
      <c r="CO612" s="68"/>
      <c r="CP612" s="71"/>
      <c r="CQ612" s="70"/>
      <c r="CR612" s="67"/>
      <c r="CS612" s="70"/>
      <c r="CT612" s="68"/>
      <c r="CU612" s="68"/>
      <c r="CV612" s="68"/>
      <c r="CW612" s="69"/>
      <c r="CX612" s="69"/>
      <c r="CY612" s="7"/>
      <c r="CZ612" s="7"/>
    </row>
    <row r="613" spans="90:104" x14ac:dyDescent="0.25">
      <c r="CL613" s="7"/>
      <c r="CM613" s="71"/>
      <c r="CN613" s="7"/>
      <c r="CO613" s="68"/>
      <c r="CP613" s="71"/>
      <c r="CQ613" s="70"/>
      <c r="CR613" s="67"/>
      <c r="CS613" s="70"/>
      <c r="CT613" s="68"/>
      <c r="CU613" s="70"/>
      <c r="CV613" s="68"/>
      <c r="CW613" s="69"/>
      <c r="CX613" s="69"/>
      <c r="CY613" s="7"/>
      <c r="CZ613" s="7"/>
    </row>
    <row r="614" spans="90:104" x14ac:dyDescent="0.25">
      <c r="CL614" s="7"/>
      <c r="CM614" s="7"/>
      <c r="CN614" s="7"/>
      <c r="CO614" s="68"/>
      <c r="CP614" s="71"/>
      <c r="CQ614" s="70"/>
      <c r="CR614" s="67"/>
      <c r="CS614" s="70"/>
      <c r="CT614" s="68"/>
      <c r="CU614" s="70"/>
      <c r="CV614" s="68"/>
      <c r="CW614" s="69"/>
      <c r="CX614" s="69"/>
      <c r="CY614" s="7"/>
      <c r="CZ614" s="7"/>
    </row>
    <row r="615" spans="90:104" x14ac:dyDescent="0.25">
      <c r="CL615" s="7"/>
      <c r="CM615" s="71"/>
      <c r="CN615" s="7"/>
      <c r="CO615" s="68"/>
      <c r="CP615" s="71"/>
      <c r="CQ615" s="70"/>
      <c r="CR615" s="67"/>
      <c r="CS615" s="70"/>
      <c r="CT615" s="68"/>
      <c r="CU615" s="68"/>
      <c r="CV615" s="68"/>
      <c r="CW615" s="69"/>
      <c r="CX615" s="69"/>
      <c r="CY615" s="7"/>
      <c r="CZ615" s="7"/>
    </row>
    <row r="616" spans="90:104" x14ac:dyDescent="0.25">
      <c r="CL616" s="7"/>
      <c r="CM616" s="71"/>
      <c r="CN616" s="7"/>
      <c r="CO616" s="68"/>
      <c r="CP616" s="71"/>
      <c r="CQ616" s="70"/>
      <c r="CR616" s="67"/>
      <c r="CS616" s="70"/>
      <c r="CT616" s="68"/>
      <c r="CU616" s="81"/>
      <c r="CV616" s="68"/>
      <c r="CW616" s="69"/>
      <c r="CX616" s="69"/>
      <c r="CY616" s="7"/>
      <c r="CZ616" s="7"/>
    </row>
    <row r="617" spans="90:104" x14ac:dyDescent="0.25">
      <c r="CL617" s="67"/>
      <c r="CM617" s="67"/>
      <c r="CN617" s="67"/>
      <c r="CO617" s="67"/>
      <c r="CP617" s="67"/>
      <c r="CQ617" s="70"/>
      <c r="CR617" s="67"/>
      <c r="CS617" s="70"/>
      <c r="CT617" s="72"/>
      <c r="CU617" s="68"/>
      <c r="CV617" s="68"/>
      <c r="CW617" s="69"/>
      <c r="CX617" s="69"/>
      <c r="CY617" s="7"/>
      <c r="CZ617" s="7"/>
    </row>
    <row r="618" spans="90:104" x14ac:dyDescent="0.25">
      <c r="CL618" s="67"/>
      <c r="CM618" s="67"/>
      <c r="CN618" s="67"/>
      <c r="CO618" s="67"/>
      <c r="CP618" s="67"/>
      <c r="CQ618" s="70"/>
      <c r="CR618" s="67"/>
      <c r="CS618" s="70"/>
      <c r="CT618" s="68"/>
      <c r="CU618" s="68"/>
      <c r="CV618" s="68"/>
      <c r="CW618" s="69"/>
      <c r="CX618" s="69"/>
      <c r="CY618" s="7"/>
      <c r="CZ618" s="7"/>
    </row>
    <row r="619" spans="90:104" x14ac:dyDescent="0.25">
      <c r="CL619" s="67"/>
      <c r="CM619" s="67"/>
      <c r="CN619" s="67"/>
      <c r="CO619" s="67"/>
      <c r="CP619" s="67"/>
      <c r="CQ619" s="70"/>
      <c r="CR619" s="67"/>
      <c r="CS619" s="70"/>
      <c r="CT619" s="68"/>
      <c r="CU619" s="68"/>
      <c r="CV619" s="68"/>
      <c r="CW619" s="69"/>
      <c r="CX619" s="69"/>
      <c r="CY619" s="7"/>
      <c r="CZ619" s="7"/>
    </row>
    <row r="620" spans="90:104" x14ac:dyDescent="0.25">
      <c r="CL620" s="7"/>
      <c r="CM620" s="71"/>
      <c r="CN620" s="7"/>
      <c r="CO620" s="67"/>
      <c r="CP620" s="67"/>
      <c r="CQ620" s="70"/>
      <c r="CR620" s="67"/>
      <c r="CS620" s="70"/>
      <c r="CT620" s="68"/>
      <c r="CU620" s="70"/>
      <c r="CV620" s="68"/>
      <c r="CW620" s="69"/>
      <c r="CX620" s="69"/>
      <c r="CY620" s="7"/>
      <c r="CZ620" s="7"/>
    </row>
    <row r="621" spans="90:104" x14ac:dyDescent="0.25">
      <c r="CL621" s="7"/>
      <c r="CM621" s="71"/>
      <c r="CN621" s="7"/>
      <c r="CO621" s="68"/>
      <c r="CP621" s="71"/>
      <c r="CQ621" s="69"/>
      <c r="CR621" s="67"/>
      <c r="CS621" s="69"/>
      <c r="CT621" s="68"/>
      <c r="CU621" s="68"/>
      <c r="CV621" s="68"/>
      <c r="CW621" s="69"/>
      <c r="CX621" s="69"/>
      <c r="CY621" s="7"/>
      <c r="CZ621" s="7"/>
    </row>
    <row r="622" spans="90:104" x14ac:dyDescent="0.25">
      <c r="CL622" s="7"/>
      <c r="CM622" s="71"/>
      <c r="CN622" s="7"/>
      <c r="CO622" s="68"/>
      <c r="CP622" s="71"/>
      <c r="CQ622" s="69"/>
      <c r="CR622" s="67"/>
      <c r="CS622" s="69"/>
      <c r="CT622" s="68"/>
      <c r="CU622" s="69"/>
      <c r="CV622" s="68"/>
      <c r="CW622" s="69"/>
      <c r="CX622" s="69"/>
      <c r="CY622" s="7"/>
      <c r="CZ622" s="7"/>
    </row>
    <row r="623" spans="90:104" x14ac:dyDescent="0.25">
      <c r="CL623" s="7"/>
      <c r="CM623" s="71"/>
      <c r="CN623" s="7"/>
      <c r="CO623" s="67"/>
      <c r="CP623" s="67"/>
      <c r="CQ623" s="69"/>
      <c r="CR623" s="67"/>
      <c r="CS623" s="69"/>
      <c r="CT623" s="69"/>
      <c r="CU623" s="69"/>
      <c r="CV623" s="68"/>
      <c r="CW623" s="69"/>
      <c r="CX623" s="69"/>
      <c r="CY623" s="7"/>
      <c r="CZ623" s="7"/>
    </row>
    <row r="624" spans="90:104" x14ac:dyDescent="0.25">
      <c r="CL624" s="7"/>
      <c r="CM624" s="71"/>
      <c r="CN624" s="7"/>
      <c r="CO624" s="67"/>
      <c r="CP624" s="67"/>
      <c r="CQ624" s="69"/>
      <c r="CR624" s="67"/>
      <c r="CS624" s="69"/>
      <c r="CT624" s="69"/>
      <c r="CU624" s="69"/>
      <c r="CV624" s="68"/>
      <c r="CW624" s="69"/>
      <c r="CX624" s="69"/>
      <c r="CY624" s="7"/>
      <c r="CZ624" s="7"/>
    </row>
    <row r="625" spans="90:104" x14ac:dyDescent="0.25">
      <c r="CL625" s="7"/>
      <c r="CM625" s="71"/>
      <c r="CN625" s="7"/>
      <c r="CO625" s="67"/>
      <c r="CP625" s="67"/>
      <c r="CQ625" s="69"/>
      <c r="CR625" s="67"/>
      <c r="CS625" s="69"/>
      <c r="CT625" s="69"/>
      <c r="CU625" s="69"/>
      <c r="CV625" s="68"/>
      <c r="CW625" s="69"/>
      <c r="CX625" s="69"/>
      <c r="CY625" s="7"/>
      <c r="CZ625" s="7"/>
    </row>
    <row r="626" spans="90:104" x14ac:dyDescent="0.25">
      <c r="CL626" s="7"/>
      <c r="CM626" s="71"/>
      <c r="CN626" s="7"/>
      <c r="CO626" s="67"/>
      <c r="CP626" s="67"/>
      <c r="CQ626" s="69"/>
      <c r="CR626" s="67"/>
      <c r="CS626" s="69"/>
      <c r="CT626" s="69"/>
      <c r="CU626" s="69"/>
      <c r="CV626" s="68"/>
      <c r="CW626" s="69"/>
      <c r="CX626" s="69"/>
      <c r="CY626" s="7"/>
      <c r="CZ626" s="7"/>
    </row>
    <row r="627" spans="90:104" x14ac:dyDescent="0.25">
      <c r="CL627" s="7"/>
      <c r="CM627" s="71"/>
      <c r="CN627" s="7"/>
      <c r="CO627" s="71"/>
      <c r="CP627" s="68"/>
      <c r="CQ627" s="69"/>
      <c r="CR627" s="67"/>
      <c r="CS627" s="69"/>
      <c r="CT627" s="68"/>
      <c r="CU627" s="69"/>
      <c r="CV627" s="68"/>
      <c r="CW627" s="69"/>
      <c r="CX627" s="69"/>
      <c r="CY627" s="7"/>
      <c r="CZ627" s="7"/>
    </row>
    <row r="628" spans="90:104" x14ac:dyDescent="0.25">
      <c r="CL628" s="7"/>
      <c r="CM628" s="71"/>
      <c r="CN628" s="7"/>
      <c r="CO628" s="71"/>
      <c r="CP628" s="68"/>
      <c r="CQ628" s="69"/>
      <c r="CR628" s="67"/>
      <c r="CS628" s="69"/>
      <c r="CT628" s="68"/>
      <c r="CU628" s="69"/>
      <c r="CV628" s="68"/>
      <c r="CW628" s="69"/>
      <c r="CX628" s="69"/>
      <c r="CY628" s="7"/>
      <c r="CZ628" s="7"/>
    </row>
    <row r="629" spans="90:104" x14ac:dyDescent="0.25">
      <c r="CL629" s="7"/>
      <c r="CM629" s="7"/>
      <c r="CN629" s="7"/>
      <c r="CO629" s="7"/>
      <c r="CP629" s="7"/>
      <c r="CQ629" s="71"/>
      <c r="CR629" s="71"/>
      <c r="CS629" s="71"/>
      <c r="CT629" s="71"/>
      <c r="CU629" s="71"/>
      <c r="CV629" s="71"/>
      <c r="CW629" s="71"/>
      <c r="CX629" s="71"/>
      <c r="CY629" s="7"/>
      <c r="CZ629" s="7"/>
    </row>
  </sheetData>
  <autoFilter ref="A1:CZ346" xr:uid="{3780BC5C-A36A-4FDA-BA1A-56917A522E1F}">
    <filterColumn colId="1">
      <filters>
        <filter val="Basic Course - II"/>
        <filter val="Çince - II"/>
        <filter val="Elemantary Course - II"/>
        <filter val="İngilizce - II"/>
        <filter val="İngilizce - IV"/>
        <filter val="İngilizce - V"/>
        <filter val="İngilizce - VI"/>
        <filter val="İngilizce - VIII"/>
        <filter val="Rusça - II"/>
      </filters>
    </filterColumn>
  </autoFilter>
  <conditionalFormatting sqref="M295">
    <cfRule type="duplicateValues" dxfId="24" priority="41"/>
  </conditionalFormatting>
  <conditionalFormatting sqref="M295">
    <cfRule type="duplicateValues" dxfId="23" priority="42"/>
  </conditionalFormatting>
  <conditionalFormatting sqref="M295">
    <cfRule type="duplicateValues" dxfId="22" priority="40"/>
  </conditionalFormatting>
  <conditionalFormatting sqref="A295">
    <cfRule type="duplicateValues" dxfId="21" priority="38"/>
  </conditionalFormatting>
  <conditionalFormatting sqref="M296">
    <cfRule type="duplicateValues" dxfId="20" priority="36"/>
  </conditionalFormatting>
  <conditionalFormatting sqref="M296">
    <cfRule type="duplicateValues" dxfId="19" priority="37"/>
  </conditionalFormatting>
  <conditionalFormatting sqref="M296">
    <cfRule type="duplicateValues" dxfId="18" priority="35"/>
  </conditionalFormatting>
  <conditionalFormatting sqref="A296">
    <cfRule type="duplicateValues" dxfId="17" priority="33"/>
  </conditionalFormatting>
  <conditionalFormatting sqref="M306">
    <cfRule type="duplicateValues" dxfId="16" priority="31"/>
  </conditionalFormatting>
  <conditionalFormatting sqref="M306">
    <cfRule type="duplicateValues" dxfId="15" priority="30"/>
  </conditionalFormatting>
  <conditionalFormatting sqref="A306">
    <cfRule type="duplicateValues" dxfId="14" priority="28"/>
  </conditionalFormatting>
  <conditionalFormatting sqref="M306">
    <cfRule type="duplicateValues" dxfId="13" priority="27"/>
  </conditionalFormatting>
  <conditionalFormatting sqref="C306">
    <cfRule type="duplicateValues" dxfId="12" priority="43"/>
  </conditionalFormatting>
  <conditionalFormatting sqref="K324">
    <cfRule type="duplicateValues" dxfId="11" priority="16"/>
  </conditionalFormatting>
  <conditionalFormatting sqref="K324">
    <cfRule type="duplicateValues" dxfId="10" priority="15"/>
  </conditionalFormatting>
  <conditionalFormatting sqref="K324">
    <cfRule type="duplicateValues" dxfId="9" priority="14"/>
  </conditionalFormatting>
  <conditionalFormatting sqref="A324">
    <cfRule type="duplicateValues" dxfId="8" priority="12"/>
  </conditionalFormatting>
  <conditionalFormatting sqref="K325">
    <cfRule type="duplicateValues" dxfId="7" priority="11"/>
  </conditionalFormatting>
  <conditionalFormatting sqref="K325">
    <cfRule type="duplicateValues" dxfId="6" priority="10"/>
  </conditionalFormatting>
  <conditionalFormatting sqref="K325">
    <cfRule type="duplicateValues" dxfId="5" priority="9"/>
  </conditionalFormatting>
  <conditionalFormatting sqref="A325">
    <cfRule type="duplicateValues" dxfId="4" priority="7"/>
  </conditionalFormatting>
  <conditionalFormatting sqref="M326:M327">
    <cfRule type="duplicateValues" dxfId="3" priority="6"/>
  </conditionalFormatting>
  <conditionalFormatting sqref="M326:M327">
    <cfRule type="duplicateValues" dxfId="2" priority="5"/>
  </conditionalFormatting>
  <conditionalFormatting sqref="M326:M327">
    <cfRule type="duplicateValues" dxfId="1" priority="4"/>
  </conditionalFormatting>
  <conditionalFormatting sqref="A326:A327"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7D12-F475-46AB-BFBA-193CDDA9A342}">
  <dimension ref="B2:F46"/>
  <sheetViews>
    <sheetView topLeftCell="A28" workbookViewId="0">
      <selection activeCell="H8" sqref="H8"/>
    </sheetView>
  </sheetViews>
  <sheetFormatPr defaultRowHeight="15" x14ac:dyDescent="0.25"/>
  <cols>
    <col min="3" max="3" width="27.140625" bestFit="1" customWidth="1"/>
    <col min="4" max="4" width="15.140625" customWidth="1"/>
    <col min="5" max="5" width="16.28515625" customWidth="1"/>
    <col min="6" max="6" width="29.28515625" bestFit="1" customWidth="1"/>
  </cols>
  <sheetData>
    <row r="2" spans="2:6" ht="15.75" thickBot="1" x14ac:dyDescent="0.3"/>
    <row r="3" spans="2:6" ht="15.75" thickBot="1" x14ac:dyDescent="0.3">
      <c r="B3" s="126" t="s">
        <v>504</v>
      </c>
      <c r="C3" s="127"/>
      <c r="D3" s="127"/>
      <c r="E3" s="127"/>
      <c r="F3" s="128"/>
    </row>
    <row r="4" spans="2:6" x14ac:dyDescent="0.25">
      <c r="B4" s="129" t="s">
        <v>505</v>
      </c>
      <c r="C4" s="130"/>
      <c r="D4" s="131"/>
      <c r="E4" s="129" t="s">
        <v>506</v>
      </c>
      <c r="F4" s="131"/>
    </row>
    <row r="5" spans="2:6" x14ac:dyDescent="0.25">
      <c r="B5" s="94">
        <v>1</v>
      </c>
      <c r="C5" s="95" t="s">
        <v>507</v>
      </c>
      <c r="D5" s="96">
        <v>0.25</v>
      </c>
      <c r="E5" s="119">
        <v>1</v>
      </c>
      <c r="F5" s="120" t="s">
        <v>508</v>
      </c>
    </row>
    <row r="6" spans="2:6" x14ac:dyDescent="0.25">
      <c r="B6" s="94">
        <v>2</v>
      </c>
      <c r="C6" s="95" t="s">
        <v>507</v>
      </c>
      <c r="D6" s="96">
        <v>0.25</v>
      </c>
      <c r="E6" s="119"/>
      <c r="F6" s="120"/>
    </row>
    <row r="7" spans="2:6" x14ac:dyDescent="0.25">
      <c r="B7" s="94">
        <v>3</v>
      </c>
      <c r="C7" s="95" t="s">
        <v>507</v>
      </c>
      <c r="D7" s="96">
        <v>0.25</v>
      </c>
      <c r="E7" s="119"/>
      <c r="F7" s="120"/>
    </row>
    <row r="8" spans="2:6" x14ac:dyDescent="0.25">
      <c r="B8" s="94">
        <v>4</v>
      </c>
      <c r="C8" s="95" t="s">
        <v>507</v>
      </c>
      <c r="D8" s="96">
        <v>0.25</v>
      </c>
      <c r="E8" s="119"/>
      <c r="F8" s="120"/>
    </row>
    <row r="9" spans="2:6" x14ac:dyDescent="0.25">
      <c r="B9" s="97"/>
      <c r="C9" s="98"/>
      <c r="D9" s="99"/>
      <c r="E9" s="97"/>
      <c r="F9" s="100"/>
    </row>
    <row r="10" spans="2:6" ht="15.75" thickBot="1" x14ac:dyDescent="0.3">
      <c r="B10" s="97"/>
      <c r="C10" s="98"/>
      <c r="D10" s="99"/>
      <c r="E10" s="97"/>
      <c r="F10" s="100"/>
    </row>
    <row r="11" spans="2:6" ht="15.75" thickBot="1" x14ac:dyDescent="0.3">
      <c r="B11" s="132" t="s">
        <v>509</v>
      </c>
      <c r="C11" s="133"/>
      <c r="D11" s="133"/>
      <c r="E11" s="133"/>
      <c r="F11" s="134"/>
    </row>
    <row r="12" spans="2:6" x14ac:dyDescent="0.25">
      <c r="B12" s="129" t="s">
        <v>505</v>
      </c>
      <c r="C12" s="130"/>
      <c r="D12" s="131"/>
      <c r="E12" s="129" t="s">
        <v>506</v>
      </c>
      <c r="F12" s="131"/>
    </row>
    <row r="13" spans="2:6" x14ac:dyDescent="0.25">
      <c r="B13" s="94">
        <v>1</v>
      </c>
      <c r="C13" s="95" t="s">
        <v>510</v>
      </c>
      <c r="D13" s="96">
        <v>0.5</v>
      </c>
      <c r="E13" s="119">
        <v>1</v>
      </c>
      <c r="F13" s="120" t="s">
        <v>508</v>
      </c>
    </row>
    <row r="14" spans="2:6" x14ac:dyDescent="0.25">
      <c r="B14" s="94">
        <v>2</v>
      </c>
      <c r="C14" s="95" t="s">
        <v>510</v>
      </c>
      <c r="D14" s="96">
        <v>0.5</v>
      </c>
      <c r="E14" s="119"/>
      <c r="F14" s="120"/>
    </row>
    <row r="15" spans="2:6" x14ac:dyDescent="0.25">
      <c r="B15" s="97"/>
      <c r="C15" s="98"/>
      <c r="D15" s="99"/>
      <c r="E15" s="97"/>
      <c r="F15" s="100"/>
    </row>
    <row r="16" spans="2:6" ht="15.75" thickBot="1" x14ac:dyDescent="0.3">
      <c r="B16" s="97"/>
      <c r="C16" s="98"/>
      <c r="D16" s="99"/>
      <c r="E16" s="97"/>
      <c r="F16" s="100"/>
    </row>
    <row r="17" spans="2:6" x14ac:dyDescent="0.25">
      <c r="B17" s="135" t="s">
        <v>511</v>
      </c>
      <c r="C17" s="136"/>
      <c r="D17" s="136"/>
      <c r="E17" s="136"/>
      <c r="F17" s="137"/>
    </row>
    <row r="18" spans="2:6" x14ac:dyDescent="0.25">
      <c r="B18" s="116" t="s">
        <v>505</v>
      </c>
      <c r="C18" s="116"/>
      <c r="D18" s="116"/>
      <c r="E18" s="116" t="s">
        <v>506</v>
      </c>
      <c r="F18" s="116"/>
    </row>
    <row r="19" spans="2:6" x14ac:dyDescent="0.25">
      <c r="B19" s="94">
        <v>1</v>
      </c>
      <c r="C19" s="95" t="s">
        <v>512</v>
      </c>
      <c r="D19" s="96">
        <v>0.25</v>
      </c>
      <c r="E19" s="119">
        <v>1</v>
      </c>
      <c r="F19" s="120" t="s">
        <v>508</v>
      </c>
    </row>
    <row r="20" spans="2:6" x14ac:dyDescent="0.25">
      <c r="B20" s="94">
        <v>2</v>
      </c>
      <c r="C20" s="95" t="s">
        <v>513</v>
      </c>
      <c r="D20" s="96">
        <v>0.5</v>
      </c>
      <c r="E20" s="119"/>
      <c r="F20" s="120"/>
    </row>
    <row r="21" spans="2:6" x14ac:dyDescent="0.25">
      <c r="B21" s="94">
        <v>3</v>
      </c>
      <c r="C21" s="95" t="s">
        <v>512</v>
      </c>
      <c r="D21" s="96">
        <v>0.25</v>
      </c>
      <c r="E21" s="119"/>
      <c r="F21" s="120"/>
    </row>
    <row r="22" spans="2:6" x14ac:dyDescent="0.25">
      <c r="B22" s="97"/>
      <c r="C22" s="98"/>
      <c r="D22" s="99"/>
      <c r="E22" s="97"/>
      <c r="F22" s="100"/>
    </row>
    <row r="23" spans="2:6" ht="15.75" thickBot="1" x14ac:dyDescent="0.3">
      <c r="B23" s="97"/>
      <c r="C23" s="98"/>
      <c r="D23" s="99"/>
      <c r="E23" s="97"/>
      <c r="F23" s="100"/>
    </row>
    <row r="24" spans="2:6" x14ac:dyDescent="0.25">
      <c r="B24" s="121" t="s">
        <v>514</v>
      </c>
      <c r="C24" s="122"/>
      <c r="D24" s="122"/>
      <c r="E24" s="122"/>
      <c r="F24" s="123"/>
    </row>
    <row r="25" spans="2:6" x14ac:dyDescent="0.25">
      <c r="B25" s="116" t="s">
        <v>505</v>
      </c>
      <c r="C25" s="116"/>
      <c r="D25" s="116"/>
      <c r="E25" s="116" t="s">
        <v>506</v>
      </c>
      <c r="F25" s="116"/>
    </row>
    <row r="26" spans="2:6" x14ac:dyDescent="0.25">
      <c r="B26" s="94">
        <v>1</v>
      </c>
      <c r="C26" s="95" t="s">
        <v>515</v>
      </c>
      <c r="D26" s="101">
        <v>1</v>
      </c>
      <c r="E26" s="94">
        <v>1</v>
      </c>
      <c r="F26" s="102" t="s">
        <v>508</v>
      </c>
    </row>
    <row r="27" spans="2:6" x14ac:dyDescent="0.25">
      <c r="B27" s="97"/>
      <c r="C27" s="98"/>
      <c r="D27" s="99"/>
      <c r="E27" s="97"/>
      <c r="F27" s="100"/>
    </row>
    <row r="28" spans="2:6" x14ac:dyDescent="0.25">
      <c r="B28" s="97"/>
      <c r="C28" s="98"/>
      <c r="D28" s="99"/>
      <c r="E28" s="97"/>
      <c r="F28" s="100"/>
    </row>
    <row r="29" spans="2:6" x14ac:dyDescent="0.25">
      <c r="B29" s="124" t="s">
        <v>516</v>
      </c>
      <c r="C29" s="124"/>
      <c r="D29" s="124"/>
      <c r="E29" s="124"/>
      <c r="F29" s="124"/>
    </row>
    <row r="30" spans="2:6" x14ac:dyDescent="0.25">
      <c r="B30" s="116" t="s">
        <v>517</v>
      </c>
      <c r="C30" s="116"/>
      <c r="D30" s="116"/>
      <c r="E30" s="116" t="s">
        <v>518</v>
      </c>
      <c r="F30" s="116"/>
    </row>
    <row r="31" spans="2:6" x14ac:dyDescent="0.25">
      <c r="B31" s="94">
        <v>0</v>
      </c>
      <c r="C31" s="95" t="s">
        <v>519</v>
      </c>
      <c r="D31" s="96">
        <v>0</v>
      </c>
      <c r="E31" s="94">
        <v>1</v>
      </c>
      <c r="F31" s="102" t="s">
        <v>508</v>
      </c>
    </row>
    <row r="32" spans="2:6" x14ac:dyDescent="0.25">
      <c r="B32" s="97"/>
      <c r="C32" s="98"/>
      <c r="D32" s="99"/>
      <c r="E32" s="97"/>
      <c r="F32" s="100"/>
    </row>
    <row r="33" spans="2:6" x14ac:dyDescent="0.25">
      <c r="B33" s="97"/>
      <c r="C33" s="98"/>
      <c r="D33" s="99"/>
      <c r="E33" s="97"/>
      <c r="F33" s="100"/>
    </row>
    <row r="34" spans="2:6" x14ac:dyDescent="0.25">
      <c r="B34" s="125" t="s">
        <v>520</v>
      </c>
      <c r="C34" s="125"/>
      <c r="D34" s="125"/>
      <c r="E34" s="125"/>
      <c r="F34" s="125"/>
    </row>
    <row r="35" spans="2:6" x14ac:dyDescent="0.25">
      <c r="B35" s="116" t="s">
        <v>517</v>
      </c>
      <c r="C35" s="116"/>
      <c r="D35" s="116"/>
      <c r="E35" s="116" t="s">
        <v>518</v>
      </c>
      <c r="F35" s="116"/>
    </row>
    <row r="36" spans="2:6" x14ac:dyDescent="0.25">
      <c r="B36" s="94">
        <v>0</v>
      </c>
      <c r="C36" s="95" t="s">
        <v>521</v>
      </c>
      <c r="D36" s="96">
        <v>0</v>
      </c>
      <c r="E36" s="94">
        <v>1</v>
      </c>
      <c r="F36" s="102" t="s">
        <v>508</v>
      </c>
    </row>
    <row r="37" spans="2:6" x14ac:dyDescent="0.25">
      <c r="B37" s="97"/>
      <c r="C37" s="98"/>
      <c r="D37" s="99"/>
      <c r="E37" s="97"/>
      <c r="F37" s="100"/>
    </row>
    <row r="38" spans="2:6" x14ac:dyDescent="0.25">
      <c r="B38" s="97"/>
      <c r="C38" s="98"/>
      <c r="D38" s="99"/>
      <c r="E38" s="97"/>
      <c r="F38" s="100"/>
    </row>
    <row r="39" spans="2:6" x14ac:dyDescent="0.25">
      <c r="B39" s="118" t="s">
        <v>522</v>
      </c>
      <c r="C39" s="118"/>
      <c r="D39" s="118"/>
      <c r="E39" s="118"/>
      <c r="F39" s="118"/>
    </row>
    <row r="40" spans="2:6" x14ac:dyDescent="0.25">
      <c r="B40" s="116" t="s">
        <v>523</v>
      </c>
      <c r="C40" s="116"/>
      <c r="D40" s="116"/>
      <c r="E40" s="116" t="s">
        <v>524</v>
      </c>
      <c r="F40" s="116"/>
    </row>
    <row r="41" spans="2:6" x14ac:dyDescent="0.25">
      <c r="B41" s="94">
        <v>1</v>
      </c>
      <c r="C41" s="95" t="s">
        <v>513</v>
      </c>
      <c r="D41" s="101">
        <v>1</v>
      </c>
      <c r="E41" s="94">
        <v>1</v>
      </c>
      <c r="F41" s="102" t="s">
        <v>525</v>
      </c>
    </row>
    <row r="42" spans="2:6" x14ac:dyDescent="0.25">
      <c r="B42" s="97"/>
      <c r="C42" s="98"/>
      <c r="D42" s="103"/>
      <c r="E42" s="97"/>
      <c r="F42" s="100"/>
    </row>
    <row r="43" spans="2:6" x14ac:dyDescent="0.25">
      <c r="B43" s="97"/>
      <c r="C43" s="98"/>
      <c r="D43" s="103"/>
      <c r="E43" s="97"/>
      <c r="F43" s="100"/>
    </row>
    <row r="44" spans="2:6" x14ac:dyDescent="0.25">
      <c r="B44" s="117" t="s">
        <v>526</v>
      </c>
      <c r="C44" s="117"/>
      <c r="D44" s="117"/>
      <c r="E44" s="117"/>
      <c r="F44" s="117"/>
    </row>
    <row r="45" spans="2:6" x14ac:dyDescent="0.25">
      <c r="B45" s="116" t="s">
        <v>517</v>
      </c>
      <c r="C45" s="116"/>
      <c r="D45" s="116"/>
      <c r="E45" s="116" t="s">
        <v>518</v>
      </c>
      <c r="F45" s="116"/>
    </row>
    <row r="46" spans="2:6" x14ac:dyDescent="0.25">
      <c r="B46" s="94">
        <v>0</v>
      </c>
      <c r="C46" s="95" t="s">
        <v>527</v>
      </c>
      <c r="D46" s="101">
        <v>0</v>
      </c>
      <c r="E46" s="94">
        <v>0</v>
      </c>
      <c r="F46" s="102" t="s">
        <v>528</v>
      </c>
    </row>
  </sheetData>
  <mergeCells count="30">
    <mergeCell ref="B18:D18"/>
    <mergeCell ref="E18:F18"/>
    <mergeCell ref="B3:F3"/>
    <mergeCell ref="B4:D4"/>
    <mergeCell ref="E4:F4"/>
    <mergeCell ref="E5:E8"/>
    <mergeCell ref="F5:F8"/>
    <mergeCell ref="B11:F11"/>
    <mergeCell ref="B12:D12"/>
    <mergeCell ref="E12:F12"/>
    <mergeCell ref="E13:E14"/>
    <mergeCell ref="F13:F14"/>
    <mergeCell ref="B17:F17"/>
    <mergeCell ref="B39:F39"/>
    <mergeCell ref="E19:E21"/>
    <mergeCell ref="F19:F21"/>
    <mergeCell ref="B24:F24"/>
    <mergeCell ref="B25:D25"/>
    <mergeCell ref="E25:F25"/>
    <mergeCell ref="B29:F29"/>
    <mergeCell ref="B30:D30"/>
    <mergeCell ref="E30:F30"/>
    <mergeCell ref="B34:F34"/>
    <mergeCell ref="B35:D35"/>
    <mergeCell ref="E35:F35"/>
    <mergeCell ref="B40:D40"/>
    <mergeCell ref="E40:F40"/>
    <mergeCell ref="B44:F44"/>
    <mergeCell ref="B45:D45"/>
    <mergeCell ref="E45:F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Sayfa1</vt:lpstr>
      <vt:lpstr>ölçme sistemleri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BuketPalanci</dc:creator>
  <cp:lastModifiedBy>Volkan Tümer</cp:lastModifiedBy>
  <dcterms:created xsi:type="dcterms:W3CDTF">2020-12-24T12:48:25Z</dcterms:created>
  <dcterms:modified xsi:type="dcterms:W3CDTF">2021-04-13T08:40:12Z</dcterms:modified>
</cp:coreProperties>
</file>